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5850" activeTab="0"/>
  </bookViews>
  <sheets>
    <sheet name="LPモデル（最適結果）" sheetId="1" r:id="rId1"/>
    <sheet name="LP計算式モデル" sheetId="2" r:id="rId2"/>
  </sheets>
  <definedNames>
    <definedName name="solver_adj" localSheetId="0" hidden="1">'LPモデル（最適結果）'!$E$7:$E$37</definedName>
    <definedName name="solver_adj" localSheetId="1" hidden="1">'LP計算式モデル'!$E$7:$E$37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'LPモデル（最適結果）'!$E$24</definedName>
    <definedName name="solver_lhs1" localSheetId="1" hidden="1">'LP計算式モデル'!$E$24</definedName>
    <definedName name="solver_lhs10" localSheetId="0" hidden="1">'LPモデル（最適結果）'!$E$29</definedName>
    <definedName name="solver_lhs10" localSheetId="1" hidden="1">'LP計算式モデル'!$E$29</definedName>
    <definedName name="solver_lhs11" localSheetId="0" hidden="1">'LPモデル（最適結果）'!$E$33</definedName>
    <definedName name="solver_lhs11" localSheetId="1" hidden="1">'LP計算式モデル'!$E$33</definedName>
    <definedName name="solver_lhs12" localSheetId="0" hidden="1">'LPモデル（最適結果）'!$E$34</definedName>
    <definedName name="solver_lhs12" localSheetId="1" hidden="1">'LP計算式モデル'!$E$34</definedName>
    <definedName name="solver_lhs13" localSheetId="0" hidden="1">'LPモデル（最適結果）'!$E$35</definedName>
    <definedName name="solver_lhs13" localSheetId="1" hidden="1">'LP計算式モデル'!$E$35</definedName>
    <definedName name="solver_lhs14" localSheetId="0" hidden="1">'LPモデル（最適結果）'!$E$35</definedName>
    <definedName name="solver_lhs14" localSheetId="1" hidden="1">'LP計算式モデル'!$E$35</definedName>
    <definedName name="solver_lhs15" localSheetId="0" hidden="1">'LPモデル（最適結果）'!$E$36</definedName>
    <definedName name="solver_lhs15" localSheetId="1" hidden="1">'LP計算式モデル'!$E$36</definedName>
    <definedName name="solver_lhs16" localSheetId="0" hidden="1">'LPモデル（最適結果）'!$M$39</definedName>
    <definedName name="solver_lhs16" localSheetId="1" hidden="1">'LP計算式モデル'!$M$39</definedName>
    <definedName name="solver_lhs17" localSheetId="0" hidden="1">'LPモデル（最適結果）'!$M$43</definedName>
    <definedName name="solver_lhs17" localSheetId="1" hidden="1">'LP計算式モデル'!$M$43</definedName>
    <definedName name="solver_lhs18" localSheetId="0" hidden="1">'LPモデル（最適結果）'!$E$30</definedName>
    <definedName name="solver_lhs18" localSheetId="1" hidden="1">'LP計算式モデル'!$E$30</definedName>
    <definedName name="solver_lhs19" localSheetId="0" hidden="1">'LPモデル（最適結果）'!$M$49</definedName>
    <definedName name="solver_lhs19" localSheetId="1" hidden="1">'LP計算式モデル'!$M$49</definedName>
    <definedName name="solver_lhs2" localSheetId="0" hidden="1">'LPモデル（最適結果）'!$E$25</definedName>
    <definedName name="solver_lhs2" localSheetId="1" hidden="1">'LP計算式モデル'!$E$25</definedName>
    <definedName name="solver_lhs20" localSheetId="0" hidden="1">'LPモデル（最適結果）'!$M$51</definedName>
    <definedName name="solver_lhs20" localSheetId="1" hidden="1">'LP計算式モデル'!$M$51</definedName>
    <definedName name="solver_lhs21" localSheetId="0" hidden="1">'LPモデル（最適結果）'!$M$55</definedName>
    <definedName name="solver_lhs21" localSheetId="1" hidden="1">'LP計算式モデル'!$M$55</definedName>
    <definedName name="solver_lhs22" localSheetId="0" hidden="1">'LPモデル（最適結果）'!$M$57</definedName>
    <definedName name="solver_lhs22" localSheetId="1" hidden="1">'LP計算式モデル'!$M$57</definedName>
    <definedName name="solver_lhs23" localSheetId="0" hidden="1">'LPモデル（最適結果）'!$M$59</definedName>
    <definedName name="solver_lhs23" localSheetId="1" hidden="1">'LP計算式モデル'!$M$59</definedName>
    <definedName name="solver_lhs24" localSheetId="0" hidden="1">'LPモデル（最適結果）'!$M$61</definedName>
    <definedName name="solver_lhs24" localSheetId="1" hidden="1">'LP計算式モデル'!$M$61</definedName>
    <definedName name="solver_lhs25" localSheetId="0" hidden="1">'LPモデル（最適結果）'!$M$63</definedName>
    <definedName name="solver_lhs25" localSheetId="1" hidden="1">'LP計算式モデル'!$M$63</definedName>
    <definedName name="solver_lhs26" localSheetId="0" hidden="1">'LPモデル（最適結果）'!$M$65</definedName>
    <definedName name="solver_lhs26" localSheetId="1" hidden="1">'LP計算式モデル'!$M$65</definedName>
    <definedName name="solver_lhs27" localSheetId="0" hidden="1">'LPモデル（最適結果）'!$M$67</definedName>
    <definedName name="solver_lhs27" localSheetId="1" hidden="1">'LP計算式モデル'!$M$67</definedName>
    <definedName name="solver_lhs28" localSheetId="0" hidden="1">'LPモデル（最適結果）'!$M$69</definedName>
    <definedName name="solver_lhs28" localSheetId="1" hidden="1">'LP計算式モデル'!$M$69</definedName>
    <definedName name="solver_lhs29" localSheetId="0" hidden="1">'LPモデル（最適結果）'!$M$71</definedName>
    <definedName name="solver_lhs29" localSheetId="1" hidden="1">'LP計算式モデル'!$M$71</definedName>
    <definedName name="solver_lhs3" localSheetId="0" hidden="1">'LPモデル（最適結果）'!$E$26</definedName>
    <definedName name="solver_lhs3" localSheetId="1" hidden="1">'LP計算式モデル'!$E$26</definedName>
    <definedName name="solver_lhs30" localSheetId="0" hidden="1">'LPモデル（最適結果）'!$M$73</definedName>
    <definedName name="solver_lhs30" localSheetId="1" hidden="1">'LP計算式モデル'!$M$73</definedName>
    <definedName name="solver_lhs31" localSheetId="0" hidden="1">'LPモデル（最適結果）'!$M$75</definedName>
    <definedName name="solver_lhs31" localSheetId="1" hidden="1">'LP計算式モデル'!$M$75</definedName>
    <definedName name="solver_lhs32" localSheetId="0" hidden="1">'LPモデル（最適結果）'!$M$77</definedName>
    <definedName name="solver_lhs32" localSheetId="1" hidden="1">'LP計算式モデル'!$M$77</definedName>
    <definedName name="solver_lhs33" localSheetId="0" hidden="1">'LPモデル（最適結果）'!$M$79</definedName>
    <definedName name="solver_lhs33" localSheetId="1" hidden="1">'LP計算式モデル'!$M$79</definedName>
    <definedName name="solver_lhs34" localSheetId="0" hidden="1">'LPモデル（最適結果）'!$M$81</definedName>
    <definedName name="solver_lhs34" localSheetId="1" hidden="1">'LP計算式モデル'!$M$81</definedName>
    <definedName name="solver_lhs35" localSheetId="0" hidden="1">'LPモデル（最適結果）'!$M$83</definedName>
    <definedName name="solver_lhs35" localSheetId="1" hidden="1">'LP計算式モデル'!$M$83</definedName>
    <definedName name="solver_lhs36" localSheetId="0" hidden="1">'LPモデル（最適結果）'!$M$85</definedName>
    <definedName name="solver_lhs36" localSheetId="1" hidden="1">'LP計算式モデル'!$M$85</definedName>
    <definedName name="solver_lhs37" localSheetId="0" hidden="1">'LPモデル（最適結果）'!$E$32</definedName>
    <definedName name="solver_lhs37" localSheetId="1" hidden="1">'LP計算式モデル'!$E$32</definedName>
    <definedName name="solver_lhs38" localSheetId="0" hidden="1">'LPモデル（最適結果）'!$M$47</definedName>
    <definedName name="solver_lhs38" localSheetId="1" hidden="1">'LP計算式モデル'!$M$47</definedName>
    <definedName name="solver_lhs39" localSheetId="0" hidden="1">'LPモデル（最適結果）'!$E$7</definedName>
    <definedName name="solver_lhs39" localSheetId="1" hidden="1">'LP計算式モデル'!$E$7</definedName>
    <definedName name="solver_lhs4" localSheetId="0" hidden="1">'LPモデル（最適結果）'!$E$27</definedName>
    <definedName name="solver_lhs4" localSheetId="1" hidden="1">'LP計算式モデル'!$E$27</definedName>
    <definedName name="solver_lhs40" localSheetId="0" hidden="1">'LPモデル（最適結果）'!$E$8</definedName>
    <definedName name="solver_lhs40" localSheetId="1" hidden="1">'LP計算式モデル'!$E$8</definedName>
    <definedName name="solver_lhs41" localSheetId="0" hidden="1">'LPモデル（最適結果）'!$E$9</definedName>
    <definedName name="solver_lhs41" localSheetId="1" hidden="1">'LP計算式モデル'!$E$9</definedName>
    <definedName name="solver_lhs42" localSheetId="0" hidden="1">'LPモデル（最適結果）'!$E$10</definedName>
    <definedName name="solver_lhs42" localSheetId="1" hidden="1">'LP計算式モデル'!$E$10</definedName>
    <definedName name="solver_lhs43" localSheetId="0" hidden="1">'LPモデル（最適結果）'!$E$11</definedName>
    <definedName name="solver_lhs43" localSheetId="1" hidden="1">'LP計算式モデル'!$E$11</definedName>
    <definedName name="solver_lhs44" localSheetId="0" hidden="1">'LPモデル（最適結果）'!$E$12</definedName>
    <definedName name="solver_lhs44" localSheetId="1" hidden="1">'LP計算式モデル'!$E$12</definedName>
    <definedName name="solver_lhs45" localSheetId="0" hidden="1">'LPモデル（最適結果）'!$E$13</definedName>
    <definedName name="solver_lhs45" localSheetId="1" hidden="1">'LP計算式モデル'!$E$13</definedName>
    <definedName name="solver_lhs46" localSheetId="0" hidden="1">'LPモデル（最適結果）'!$E$14</definedName>
    <definedName name="solver_lhs46" localSheetId="1" hidden="1">'LP計算式モデル'!$E$14</definedName>
    <definedName name="solver_lhs47" localSheetId="0" hidden="1">'LPモデル（最適結果）'!$E$15</definedName>
    <definedName name="solver_lhs47" localSheetId="1" hidden="1">'LP計算式モデル'!$E$15</definedName>
    <definedName name="solver_lhs48" localSheetId="0" hidden="1">'LPモデル（最適結果）'!$E$16</definedName>
    <definedName name="solver_lhs48" localSheetId="1" hidden="1">'LP計算式モデル'!$E$16</definedName>
    <definedName name="solver_lhs49" localSheetId="0" hidden="1">'LPモデル（最適結果）'!$E$17</definedName>
    <definedName name="solver_lhs49" localSheetId="1" hidden="1">'LP計算式モデル'!$E$17</definedName>
    <definedName name="solver_lhs5" localSheetId="0" hidden="1">'LPモデル（最適結果）'!$E$28</definedName>
    <definedName name="solver_lhs5" localSheetId="1" hidden="1">'LP計算式モデル'!$E$28</definedName>
    <definedName name="solver_lhs50" localSheetId="0" hidden="1">'LPモデル（最適結果）'!$E$18</definedName>
    <definedName name="solver_lhs50" localSheetId="1" hidden="1">'LP計算式モデル'!$E$18</definedName>
    <definedName name="solver_lhs51" localSheetId="0" hidden="1">'LPモデル（最適結果）'!$E$19</definedName>
    <definedName name="solver_lhs51" localSheetId="1" hidden="1">'LP計算式モデル'!$E$19</definedName>
    <definedName name="solver_lhs52" localSheetId="0" hidden="1">'LPモデル（最適結果）'!$E$20</definedName>
    <definedName name="solver_lhs52" localSheetId="1" hidden="1">'LP計算式モデル'!$E$20</definedName>
    <definedName name="solver_lhs53" localSheetId="0" hidden="1">'LPモデル（最適結果）'!$E$21</definedName>
    <definedName name="solver_lhs53" localSheetId="1" hidden="1">'LP計算式モデル'!$E$21</definedName>
    <definedName name="solver_lhs54" localSheetId="0" hidden="1">'LPモデル（最適結果）'!$E$22</definedName>
    <definedName name="solver_lhs54" localSheetId="1" hidden="1">'LP計算式モデル'!$E$22</definedName>
    <definedName name="solver_lhs55" localSheetId="0" hidden="1">'LPモデル（最適結果）'!$E$23</definedName>
    <definedName name="solver_lhs55" localSheetId="1" hidden="1">'LP計算式モデル'!$E$23</definedName>
    <definedName name="solver_lhs56" localSheetId="0" hidden="1">'LPモデル（最適結果）'!$E$24</definedName>
    <definedName name="solver_lhs56" localSheetId="1" hidden="1">'LP計算式モデル'!$E$24</definedName>
    <definedName name="solver_lhs57" localSheetId="0" hidden="1">'LPモデル（最適結果）'!$E$25</definedName>
    <definedName name="solver_lhs57" localSheetId="1" hidden="1">'LP計算式モデル'!$E$25</definedName>
    <definedName name="solver_lhs58" localSheetId="0" hidden="1">'LPモデル（最適結果）'!$M$45</definedName>
    <definedName name="solver_lhs58" localSheetId="1" hidden="1">'LP計算式モデル'!$M$45</definedName>
    <definedName name="solver_lhs59" localSheetId="0" hidden="1">'LPモデル（最適結果）'!$E$34</definedName>
    <definedName name="solver_lhs59" localSheetId="1" hidden="1">'LP計算式モデル'!$E$34</definedName>
    <definedName name="solver_lhs6" localSheetId="0" hidden="1">'LPモデル（最適結果）'!$M$87</definedName>
    <definedName name="solver_lhs6" localSheetId="1" hidden="1">'LP計算式モデル'!$M$87</definedName>
    <definedName name="solver_lhs60" localSheetId="0" hidden="1">'LPモデル（最適結果）'!$M$83</definedName>
    <definedName name="solver_lhs60" localSheetId="1" hidden="1">'LP計算式モデル'!$M$83</definedName>
    <definedName name="solver_lhs7" localSheetId="0" hidden="1">'LPモデル（最適結果）'!$E$26</definedName>
    <definedName name="solver_lhs7" localSheetId="1" hidden="1">'LP計算式モデル'!$E$26</definedName>
    <definedName name="solver_lhs8" localSheetId="0" hidden="1">'LPモデル（最適結果）'!$E$31</definedName>
    <definedName name="solver_lhs8" localSheetId="1" hidden="1">'LP計算式モデル'!$E$31</definedName>
    <definedName name="solver_lhs9" localSheetId="0" hidden="1">'LPモデル（最適結果）'!$E$31</definedName>
    <definedName name="solver_lhs9" localSheetId="1" hidden="1">'LP計算式モデル'!$E$31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59</definedName>
    <definedName name="solver_num" localSheetId="1" hidden="1">59</definedName>
    <definedName name="solver_nwt" localSheetId="0" hidden="1">1</definedName>
    <definedName name="solver_nwt" localSheetId="1" hidden="1">1</definedName>
    <definedName name="solver_opt" localSheetId="0" hidden="1">'LPモデル（最適結果）'!$E$5</definedName>
    <definedName name="solver_opt" localSheetId="1" hidden="1">'LP計算式モデル'!$E$5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10" localSheetId="0" hidden="1">1</definedName>
    <definedName name="solver_rel10" localSheetId="1" hidden="1">1</definedName>
    <definedName name="solver_rel11" localSheetId="0" hidden="1">2</definedName>
    <definedName name="solver_rel11" localSheetId="1" hidden="1">2</definedName>
    <definedName name="solver_rel12" localSheetId="0" hidden="1">1</definedName>
    <definedName name="solver_rel12" localSheetId="1" hidden="1">1</definedName>
    <definedName name="solver_rel13" localSheetId="0" hidden="1">1</definedName>
    <definedName name="solver_rel13" localSheetId="1" hidden="1">1</definedName>
    <definedName name="solver_rel14" localSheetId="0" hidden="1">3</definedName>
    <definedName name="solver_rel14" localSheetId="1" hidden="1">3</definedName>
    <definedName name="solver_rel15" localSheetId="0" hidden="1">1</definedName>
    <definedName name="solver_rel15" localSheetId="1" hidden="1">1</definedName>
    <definedName name="solver_rel16" localSheetId="0" hidden="1">3</definedName>
    <definedName name="solver_rel16" localSheetId="1" hidden="1">3</definedName>
    <definedName name="solver_rel17" localSheetId="0" hidden="1">2</definedName>
    <definedName name="solver_rel17" localSheetId="1" hidden="1">2</definedName>
    <definedName name="solver_rel18" localSheetId="0" hidden="1">2</definedName>
    <definedName name="solver_rel18" localSheetId="1" hidden="1">2</definedName>
    <definedName name="solver_rel19" localSheetId="0" hidden="1">2</definedName>
    <definedName name="solver_rel19" localSheetId="1" hidden="1">2</definedName>
    <definedName name="solver_rel2" localSheetId="0" hidden="1">1</definedName>
    <definedName name="solver_rel2" localSheetId="1" hidden="1">1</definedName>
    <definedName name="solver_rel20" localSheetId="0" hidden="1">2</definedName>
    <definedName name="solver_rel20" localSheetId="1" hidden="1">2</definedName>
    <definedName name="solver_rel21" localSheetId="0" hidden="1">2</definedName>
    <definedName name="solver_rel21" localSheetId="1" hidden="1">2</definedName>
    <definedName name="solver_rel22" localSheetId="0" hidden="1">2</definedName>
    <definedName name="solver_rel22" localSheetId="1" hidden="1">2</definedName>
    <definedName name="solver_rel23" localSheetId="0" hidden="1">3</definedName>
    <definedName name="solver_rel23" localSheetId="1" hidden="1">3</definedName>
    <definedName name="solver_rel24" localSheetId="0" hidden="1">3</definedName>
    <definedName name="solver_rel24" localSheetId="1" hidden="1">3</definedName>
    <definedName name="solver_rel25" localSheetId="0" hidden="1">1</definedName>
    <definedName name="solver_rel25" localSheetId="1" hidden="1">1</definedName>
    <definedName name="solver_rel26" localSheetId="0" hidden="1">2</definedName>
    <definedName name="solver_rel26" localSheetId="1" hidden="1">2</definedName>
    <definedName name="solver_rel27" localSheetId="0" hidden="1">2</definedName>
    <definedName name="solver_rel27" localSheetId="1" hidden="1">2</definedName>
    <definedName name="solver_rel28" localSheetId="0" hidden="1">2</definedName>
    <definedName name="solver_rel28" localSheetId="1" hidden="1">2</definedName>
    <definedName name="solver_rel29" localSheetId="0" hidden="1">2</definedName>
    <definedName name="solver_rel29" localSheetId="1" hidden="1">2</definedName>
    <definedName name="solver_rel3" localSheetId="0" hidden="1">1</definedName>
    <definedName name="solver_rel3" localSheetId="1" hidden="1">1</definedName>
    <definedName name="solver_rel30" localSheetId="0" hidden="1">2</definedName>
    <definedName name="solver_rel30" localSheetId="1" hidden="1">2</definedName>
    <definedName name="solver_rel31" localSheetId="0" hidden="1">2</definedName>
    <definedName name="solver_rel31" localSheetId="1" hidden="1">2</definedName>
    <definedName name="solver_rel32" localSheetId="0" hidden="1">2</definedName>
    <definedName name="solver_rel32" localSheetId="1" hidden="1">2</definedName>
    <definedName name="solver_rel33" localSheetId="0" hidden="1">2</definedName>
    <definedName name="solver_rel33" localSheetId="1" hidden="1">2</definedName>
    <definedName name="solver_rel34" localSheetId="0" hidden="1">1</definedName>
    <definedName name="solver_rel34" localSheetId="1" hidden="1">1</definedName>
    <definedName name="solver_rel35" localSheetId="0" hidden="1">1</definedName>
    <definedName name="solver_rel35" localSheetId="1" hidden="1">1</definedName>
    <definedName name="solver_rel36" localSheetId="0" hidden="1">1</definedName>
    <definedName name="solver_rel36" localSheetId="1" hidden="1">1</definedName>
    <definedName name="solver_rel37" localSheetId="0" hidden="1">2</definedName>
    <definedName name="solver_rel37" localSheetId="1" hidden="1">2</definedName>
    <definedName name="solver_rel38" localSheetId="0" hidden="1">2</definedName>
    <definedName name="solver_rel38" localSheetId="1" hidden="1">2</definedName>
    <definedName name="solver_rel39" localSheetId="0" hidden="1">3</definedName>
    <definedName name="solver_rel39" localSheetId="1" hidden="1">3</definedName>
    <definedName name="solver_rel4" localSheetId="0" hidden="1">1</definedName>
    <definedName name="solver_rel4" localSheetId="1" hidden="1">1</definedName>
    <definedName name="solver_rel40" localSheetId="0" hidden="1">3</definedName>
    <definedName name="solver_rel40" localSheetId="1" hidden="1">3</definedName>
    <definedName name="solver_rel41" localSheetId="0" hidden="1">3</definedName>
    <definedName name="solver_rel41" localSheetId="1" hidden="1">3</definedName>
    <definedName name="solver_rel42" localSheetId="0" hidden="1">3</definedName>
    <definedName name="solver_rel42" localSheetId="1" hidden="1">3</definedName>
    <definedName name="solver_rel43" localSheetId="0" hidden="1">3</definedName>
    <definedName name="solver_rel43" localSheetId="1" hidden="1">3</definedName>
    <definedName name="solver_rel44" localSheetId="0" hidden="1">3</definedName>
    <definedName name="solver_rel44" localSheetId="1" hidden="1">3</definedName>
    <definedName name="solver_rel45" localSheetId="0" hidden="1">3</definedName>
    <definedName name="solver_rel45" localSheetId="1" hidden="1">3</definedName>
    <definedName name="solver_rel46" localSheetId="0" hidden="1">3</definedName>
    <definedName name="solver_rel46" localSheetId="1" hidden="1">3</definedName>
    <definedName name="solver_rel47" localSheetId="0" hidden="1">3</definedName>
    <definedName name="solver_rel47" localSheetId="1" hidden="1">3</definedName>
    <definedName name="solver_rel48" localSheetId="0" hidden="1">3</definedName>
    <definedName name="solver_rel48" localSheetId="1" hidden="1">3</definedName>
    <definedName name="solver_rel49" localSheetId="0" hidden="1">3</definedName>
    <definedName name="solver_rel49" localSheetId="1" hidden="1">3</definedName>
    <definedName name="solver_rel5" localSheetId="0" hidden="1">1</definedName>
    <definedName name="solver_rel5" localSheetId="1" hidden="1">1</definedName>
    <definedName name="solver_rel50" localSheetId="0" hidden="1">3</definedName>
    <definedName name="solver_rel50" localSheetId="1" hidden="1">3</definedName>
    <definedName name="solver_rel51" localSheetId="0" hidden="1">3</definedName>
    <definedName name="solver_rel51" localSheetId="1" hidden="1">3</definedName>
    <definedName name="solver_rel52" localSheetId="0" hidden="1">3</definedName>
    <definedName name="solver_rel52" localSheetId="1" hidden="1">3</definedName>
    <definedName name="solver_rel53" localSheetId="0" hidden="1">3</definedName>
    <definedName name="solver_rel53" localSheetId="1" hidden="1">3</definedName>
    <definedName name="solver_rel54" localSheetId="0" hidden="1">3</definedName>
    <definedName name="solver_rel54" localSheetId="1" hidden="1">3</definedName>
    <definedName name="solver_rel55" localSheetId="0" hidden="1">3</definedName>
    <definedName name="solver_rel55" localSheetId="1" hidden="1">3</definedName>
    <definedName name="solver_rel56" localSheetId="0" hidden="1">3</definedName>
    <definedName name="solver_rel56" localSheetId="1" hidden="1">3</definedName>
    <definedName name="solver_rel57" localSheetId="0" hidden="1">3</definedName>
    <definedName name="solver_rel57" localSheetId="1" hidden="1">3</definedName>
    <definedName name="solver_rel58" localSheetId="0" hidden="1">1</definedName>
    <definedName name="solver_rel58" localSheetId="1" hidden="1">1</definedName>
    <definedName name="solver_rel59" localSheetId="0" hidden="1">3</definedName>
    <definedName name="solver_rel59" localSheetId="1" hidden="1">3</definedName>
    <definedName name="solver_rel6" localSheetId="0" hidden="1">1</definedName>
    <definedName name="solver_rel6" localSheetId="1" hidden="1">1</definedName>
    <definedName name="solver_rel60" localSheetId="0" hidden="1">2</definedName>
    <definedName name="solver_rel60" localSheetId="1" hidden="1">2</definedName>
    <definedName name="solver_rel7" localSheetId="0" hidden="1">3</definedName>
    <definedName name="solver_rel7" localSheetId="1" hidden="1">3</definedName>
    <definedName name="solver_rel8" localSheetId="0" hidden="1">1</definedName>
    <definedName name="solver_rel8" localSheetId="1" hidden="1">1</definedName>
    <definedName name="solver_rel9" localSheetId="0" hidden="1">3</definedName>
    <definedName name="solver_rel9" localSheetId="1" hidden="1">3</definedName>
    <definedName name="solver_rhs1" localSheetId="0" hidden="1">'LPモデル（最適結果）'!$G$24</definedName>
    <definedName name="solver_rhs1" localSheetId="1" hidden="1">'LP計算式モデル'!$G$24</definedName>
    <definedName name="solver_rhs10" localSheetId="0" hidden="1">'LPモデル（最適結果）'!$G$29</definedName>
    <definedName name="solver_rhs10" localSheetId="1" hidden="1">'LP計算式モデル'!$G$29</definedName>
    <definedName name="solver_rhs11" localSheetId="0" hidden="1">'LPモデル（最適結果）'!$G$33</definedName>
    <definedName name="solver_rhs11" localSheetId="1" hidden="1">'LP計算式モデル'!$G$33</definedName>
    <definedName name="solver_rhs12" localSheetId="0" hidden="1">'LPモデル（最適結果）'!$G$34</definedName>
    <definedName name="solver_rhs12" localSheetId="1" hidden="1">'LP計算式モデル'!$G$34</definedName>
    <definedName name="solver_rhs13" localSheetId="0" hidden="1">'LPモデル（最適結果）'!$G$35</definedName>
    <definedName name="solver_rhs13" localSheetId="1" hidden="1">'LP計算式モデル'!$G$35</definedName>
    <definedName name="solver_rhs14" localSheetId="0" hidden="1">'LPモデル（最適結果）'!$I$35</definedName>
    <definedName name="solver_rhs14" localSheetId="1" hidden="1">'LP計算式モデル'!$I$35</definedName>
    <definedName name="solver_rhs15" localSheetId="0" hidden="1">'LPモデル（最適結果）'!$G$36</definedName>
    <definedName name="solver_rhs15" localSheetId="1" hidden="1">'LP計算式モデル'!$G$36</definedName>
    <definedName name="solver_rhs16" localSheetId="0" hidden="1">0</definedName>
    <definedName name="solver_rhs16" localSheetId="1" hidden="1">0</definedName>
    <definedName name="solver_rhs17" localSheetId="0" hidden="1">0</definedName>
    <definedName name="solver_rhs17" localSheetId="1" hidden="1">0</definedName>
    <definedName name="solver_rhs18" localSheetId="0" hidden="1">'LPモデル（最適結果）'!$G$30</definedName>
    <definedName name="solver_rhs18" localSheetId="1" hidden="1">'LP計算式モデル'!$G$30</definedName>
    <definedName name="solver_rhs19" localSheetId="0" hidden="1">0</definedName>
    <definedName name="solver_rhs19" localSheetId="1" hidden="1">0</definedName>
    <definedName name="solver_rhs2" localSheetId="0" hidden="1">'LPモデル（最適結果）'!$G$25</definedName>
    <definedName name="solver_rhs2" localSheetId="1" hidden="1">'LP計算式モデル'!$G$25</definedName>
    <definedName name="solver_rhs20" localSheetId="0" hidden="1">0</definedName>
    <definedName name="solver_rhs20" localSheetId="1" hidden="1">0</definedName>
    <definedName name="solver_rhs21" localSheetId="0" hidden="1">0</definedName>
    <definedName name="solver_rhs21" localSheetId="1" hidden="1">0</definedName>
    <definedName name="solver_rhs22" localSheetId="0" hidden="1">0</definedName>
    <definedName name="solver_rhs22" localSheetId="1" hidden="1">0</definedName>
    <definedName name="solver_rhs23" localSheetId="0" hidden="1">0</definedName>
    <definedName name="solver_rhs23" localSheetId="1" hidden="1">0</definedName>
    <definedName name="solver_rhs24" localSheetId="0" hidden="1">0</definedName>
    <definedName name="solver_rhs24" localSheetId="1" hidden="1">0</definedName>
    <definedName name="solver_rhs25" localSheetId="0" hidden="1">0</definedName>
    <definedName name="solver_rhs25" localSheetId="1" hidden="1">0</definedName>
    <definedName name="solver_rhs26" localSheetId="0" hidden="1">0</definedName>
    <definedName name="solver_rhs26" localSheetId="1" hidden="1">0</definedName>
    <definedName name="solver_rhs27" localSheetId="0" hidden="1">0</definedName>
    <definedName name="solver_rhs27" localSheetId="1" hidden="1">0</definedName>
    <definedName name="solver_rhs28" localSheetId="0" hidden="1">0</definedName>
    <definedName name="solver_rhs28" localSheetId="1" hidden="1">0</definedName>
    <definedName name="solver_rhs29" localSheetId="0" hidden="1">0</definedName>
    <definedName name="solver_rhs29" localSheetId="1" hidden="1">0</definedName>
    <definedName name="solver_rhs3" localSheetId="0" hidden="1">'LPモデル（最適結果）'!$G$26</definedName>
    <definedName name="solver_rhs3" localSheetId="1" hidden="1">'LP計算式モデル'!$G$26</definedName>
    <definedName name="solver_rhs30" localSheetId="0" hidden="1">0</definedName>
    <definedName name="solver_rhs30" localSheetId="1" hidden="1">0</definedName>
    <definedName name="solver_rhs31" localSheetId="0" hidden="1">0</definedName>
    <definedName name="solver_rhs31" localSheetId="1" hidden="1">0</definedName>
    <definedName name="solver_rhs32" localSheetId="0" hidden="1">0</definedName>
    <definedName name="solver_rhs32" localSheetId="1" hidden="1">0</definedName>
    <definedName name="solver_rhs33" localSheetId="0" hidden="1">0</definedName>
    <definedName name="solver_rhs33" localSheetId="1" hidden="1">0</definedName>
    <definedName name="solver_rhs34" localSheetId="0" hidden="1">0</definedName>
    <definedName name="solver_rhs34" localSheetId="1" hidden="1">0</definedName>
    <definedName name="solver_rhs35" localSheetId="0" hidden="1">0</definedName>
    <definedName name="solver_rhs35" localSheetId="1" hidden="1">0</definedName>
    <definedName name="solver_rhs36" localSheetId="0" hidden="1">0</definedName>
    <definedName name="solver_rhs36" localSheetId="1" hidden="1">0</definedName>
    <definedName name="solver_rhs37" localSheetId="0" hidden="1">'LPモデル（最適結果）'!$G$32</definedName>
    <definedName name="solver_rhs37" localSheetId="1" hidden="1">'LP計算式モデル'!$G$32</definedName>
    <definedName name="solver_rhs38" localSheetId="0" hidden="1">0</definedName>
    <definedName name="solver_rhs38" localSheetId="1" hidden="1">0</definedName>
    <definedName name="solver_rhs39" localSheetId="0" hidden="1">0</definedName>
    <definedName name="solver_rhs39" localSheetId="1" hidden="1">0</definedName>
    <definedName name="solver_rhs4" localSheetId="0" hidden="1">'LPモデル（最適結果）'!$G$27</definedName>
    <definedName name="solver_rhs4" localSheetId="1" hidden="1">'LP計算式モデル'!$G$27</definedName>
    <definedName name="solver_rhs40" localSheetId="0" hidden="1">0</definedName>
    <definedName name="solver_rhs40" localSheetId="1" hidden="1">0</definedName>
    <definedName name="solver_rhs41" localSheetId="0" hidden="1">0</definedName>
    <definedName name="solver_rhs41" localSheetId="1" hidden="1">0</definedName>
    <definedName name="solver_rhs42" localSheetId="0" hidden="1">0</definedName>
    <definedName name="solver_rhs42" localSheetId="1" hidden="1">0</definedName>
    <definedName name="solver_rhs43" localSheetId="0" hidden="1">0</definedName>
    <definedName name="solver_rhs43" localSheetId="1" hidden="1">0</definedName>
    <definedName name="solver_rhs44" localSheetId="0" hidden="1">0</definedName>
    <definedName name="solver_rhs44" localSheetId="1" hidden="1">0</definedName>
    <definedName name="solver_rhs45" localSheetId="0" hidden="1">0</definedName>
    <definedName name="solver_rhs45" localSheetId="1" hidden="1">0</definedName>
    <definedName name="solver_rhs46" localSheetId="0" hidden="1">0</definedName>
    <definedName name="solver_rhs46" localSheetId="1" hidden="1">0</definedName>
    <definedName name="solver_rhs47" localSheetId="0" hidden="1">0</definedName>
    <definedName name="solver_rhs47" localSheetId="1" hidden="1">0</definedName>
    <definedName name="solver_rhs48" localSheetId="0" hidden="1">0</definedName>
    <definedName name="solver_rhs48" localSheetId="1" hidden="1">0</definedName>
    <definedName name="solver_rhs49" localSheetId="0" hidden="1">0</definedName>
    <definedName name="solver_rhs49" localSheetId="1" hidden="1">0</definedName>
    <definedName name="solver_rhs5" localSheetId="0" hidden="1">'LPモデル（最適結果）'!$G$28</definedName>
    <definedName name="solver_rhs5" localSheetId="1" hidden="1">'LP計算式モデル'!$G$28</definedName>
    <definedName name="solver_rhs50" localSheetId="0" hidden="1">0</definedName>
    <definedName name="solver_rhs50" localSheetId="1" hidden="1">0</definedName>
    <definedName name="solver_rhs51" localSheetId="0" hidden="1">0</definedName>
    <definedName name="solver_rhs51" localSheetId="1" hidden="1">0</definedName>
    <definedName name="solver_rhs52" localSheetId="0" hidden="1">0</definedName>
    <definedName name="solver_rhs52" localSheetId="1" hidden="1">0</definedName>
    <definedName name="solver_rhs53" localSheetId="0" hidden="1">0</definedName>
    <definedName name="solver_rhs53" localSheetId="1" hidden="1">0</definedName>
    <definedName name="solver_rhs54" localSheetId="0" hidden="1">0</definedName>
    <definedName name="solver_rhs54" localSheetId="1" hidden="1">0</definedName>
    <definedName name="solver_rhs55" localSheetId="0" hidden="1">0</definedName>
    <definedName name="solver_rhs55" localSheetId="1" hidden="1">0</definedName>
    <definedName name="solver_rhs56" localSheetId="0" hidden="1">0</definedName>
    <definedName name="solver_rhs56" localSheetId="1" hidden="1">0</definedName>
    <definedName name="solver_rhs57" localSheetId="0" hidden="1">0</definedName>
    <definedName name="solver_rhs57" localSheetId="1" hidden="1">0</definedName>
    <definedName name="solver_rhs58" localSheetId="0" hidden="1">0</definedName>
    <definedName name="solver_rhs58" localSheetId="1" hidden="1">0</definedName>
    <definedName name="solver_rhs59" localSheetId="0" hidden="1">0</definedName>
    <definedName name="solver_rhs59" localSheetId="1" hidden="1">0</definedName>
    <definedName name="solver_rhs6" localSheetId="0" hidden="1">0</definedName>
    <definedName name="solver_rhs6" localSheetId="1" hidden="1">0</definedName>
    <definedName name="solver_rhs60" localSheetId="0" hidden="1">0</definedName>
    <definedName name="solver_rhs60" localSheetId="1" hidden="1">0</definedName>
    <definedName name="solver_rhs7" localSheetId="0" hidden="1">0</definedName>
    <definedName name="solver_rhs7" localSheetId="1" hidden="1">0</definedName>
    <definedName name="solver_rhs8" localSheetId="0" hidden="1">'LPモデル（最適結果）'!$G$31</definedName>
    <definedName name="solver_rhs8" localSheetId="1" hidden="1">'LP計算式モデル'!$G$31</definedName>
    <definedName name="solver_rhs9" localSheetId="0" hidden="1">'LPモデル（最適結果）'!$I$31</definedName>
    <definedName name="solver_rhs9" localSheetId="1" hidden="1">'LP計算式モデル'!$I$31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<sst xmlns="http://schemas.openxmlformats.org/spreadsheetml/2006/main" count="680" uniqueCount="312">
  <si>
    <t>LPG製品</t>
  </si>
  <si>
    <t>ナフサ留分</t>
  </si>
  <si>
    <t>灯油バランス</t>
  </si>
  <si>
    <t>軽油バランス</t>
  </si>
  <si>
    <t>自燃バランス</t>
  </si>
  <si>
    <t>自燃必要量</t>
  </si>
  <si>
    <t>ガソ　リ　ン関係</t>
  </si>
  <si>
    <t>製品ガソリン=</t>
  </si>
  <si>
    <t>混合基材</t>
  </si>
  <si>
    <t>オクタン価</t>
  </si>
  <si>
    <t>TEL</t>
  </si>
  <si>
    <t>軽油留分</t>
  </si>
  <si>
    <t>X12</t>
  </si>
  <si>
    <t>X13</t>
  </si>
  <si>
    <t>X14</t>
  </si>
  <si>
    <t>X15</t>
  </si>
  <si>
    <t>X16</t>
  </si>
  <si>
    <t>X17</t>
  </si>
  <si>
    <t>油分</t>
  </si>
  <si>
    <t>原油2の塔底</t>
  </si>
  <si>
    <t>原油1の塔底</t>
  </si>
  <si>
    <t>減圧蒸留</t>
  </si>
  <si>
    <t>残渣油</t>
  </si>
  <si>
    <t>接触分解装置</t>
  </si>
  <si>
    <t>B重油</t>
  </si>
  <si>
    <t>C重油</t>
  </si>
  <si>
    <t>自家燃料油</t>
  </si>
  <si>
    <t>硫黄分</t>
  </si>
  <si>
    <t>粘度</t>
  </si>
  <si>
    <t>製油所LPモデル（石油精製技術便覧）</t>
  </si>
  <si>
    <t>目的関数</t>
  </si>
  <si>
    <t>変数</t>
  </si>
  <si>
    <t>全原油処理量</t>
  </si>
  <si>
    <t>N</t>
  </si>
  <si>
    <t>BAL =0</t>
  </si>
  <si>
    <t>(17)</t>
  </si>
  <si>
    <t>X14</t>
  </si>
  <si>
    <t>SUM</t>
  </si>
  <si>
    <t>710X9</t>
  </si>
  <si>
    <t>SUM</t>
  </si>
  <si>
    <t>ナフサ⇒灯油</t>
  </si>
  <si>
    <t>X5</t>
  </si>
  <si>
    <t>X9</t>
  </si>
  <si>
    <t>(6)</t>
  </si>
  <si>
    <t>0.0095TEL</t>
  </si>
  <si>
    <t>0.7X6</t>
  </si>
  <si>
    <t>0.3X7</t>
  </si>
  <si>
    <t>3.4X8</t>
  </si>
  <si>
    <t>4.3X9</t>
  </si>
  <si>
    <t>X4</t>
  </si>
  <si>
    <t>X7</t>
  </si>
  <si>
    <t>X12</t>
  </si>
  <si>
    <t>(18)</t>
  </si>
  <si>
    <t>(25)</t>
  </si>
  <si>
    <t>原油 ・ 装置 ・ 製品の制約</t>
  </si>
  <si>
    <t>物質収支｜　ガソ リ ン ・  重油以外</t>
  </si>
  <si>
    <t>物質収支｜重油関係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</si>
  <si>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</si>
  <si>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</si>
  <si>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</si>
  <si>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</si>
  <si>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</si>
  <si>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</si>
  <si>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</si>
  <si>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</si>
  <si>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</si>
  <si>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</si>
  <si>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</si>
  <si>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</si>
  <si>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</si>
  <si>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(1)</t>
  </si>
  <si>
    <t>((1700LPG+1100NAPH+1330GASO+1430KERO+1430DGO+1330AFO+1130BFO+930CFO+930HFO)-(870CRD1+8300RD2)</t>
  </si>
  <si>
    <t>-(J17+20VACU+70FCCU+0.8TEL))/10^6</t>
  </si>
  <si>
    <t>Z               MM\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</si>
  <si>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</si>
  <si>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</si>
  <si>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</si>
  <si>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</si>
  <si>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</si>
  <si>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</si>
  <si>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</si>
  <si>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</si>
  <si>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</si>
  <si>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</si>
  <si>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</si>
  <si>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CRDSUM</t>
  </si>
  <si>
    <t>CRD1</t>
  </si>
  <si>
    <t>CRD2</t>
  </si>
  <si>
    <t>PLAT</t>
  </si>
  <si>
    <t>VACU</t>
  </si>
  <si>
    <t>FCCU</t>
  </si>
  <si>
    <t>NAPH</t>
  </si>
  <si>
    <t>=</t>
  </si>
  <si>
    <t>GASO</t>
  </si>
  <si>
    <t>=&gt;</t>
  </si>
  <si>
    <t>KERO</t>
  </si>
  <si>
    <t>DGO</t>
  </si>
  <si>
    <t>AFO</t>
  </si>
  <si>
    <t>BFO</t>
  </si>
  <si>
    <t>CFO</t>
  </si>
  <si>
    <t>TEL</t>
  </si>
  <si>
    <t>(2)</t>
  </si>
  <si>
    <t>CRD1</t>
  </si>
  <si>
    <t>CRD2</t>
  </si>
  <si>
    <t>CRDSUM</t>
  </si>
  <si>
    <t>CRDMAX</t>
  </si>
  <si>
    <t>(3)</t>
  </si>
  <si>
    <t>0.01CRD1</t>
  </si>
  <si>
    <t>0.2PLAT</t>
  </si>
  <si>
    <t>0.2FCCU</t>
  </si>
  <si>
    <t>LPGSUM</t>
  </si>
  <si>
    <t>(4)</t>
  </si>
  <si>
    <t>0.24CRD1</t>
  </si>
  <si>
    <t>0.05CRD2</t>
  </si>
  <si>
    <t>PLAT</t>
  </si>
  <si>
    <t>NAPH</t>
  </si>
  <si>
    <t>X1</t>
  </si>
  <si>
    <t>X2</t>
  </si>
  <si>
    <t>BAL =0</t>
  </si>
  <si>
    <t>バランス</t>
  </si>
  <si>
    <t>(5)</t>
  </si>
  <si>
    <t>=SUM*0.3</t>
  </si>
  <si>
    <t>0.07CRD1</t>
  </si>
  <si>
    <t>0.02CRD2</t>
  </si>
  <si>
    <t>KERO</t>
  </si>
  <si>
    <t>X3</t>
  </si>
  <si>
    <t>(7)</t>
  </si>
  <si>
    <t>0.09CRD1</t>
  </si>
  <si>
    <t>0.14CRD2</t>
  </si>
  <si>
    <t>DGO</t>
  </si>
  <si>
    <t>(8)</t>
  </si>
  <si>
    <t>FCCU⇔VACU</t>
  </si>
  <si>
    <t>FCCU</t>
  </si>
  <si>
    <t>0.5VACU</t>
  </si>
  <si>
    <t>(9)</t>
  </si>
  <si>
    <t>0.1PLAT</t>
  </si>
  <si>
    <t>0.1FCCU</t>
  </si>
  <si>
    <t>X5</t>
  </si>
  <si>
    <t>HFSUM</t>
  </si>
  <si>
    <t>(10)</t>
  </si>
  <si>
    <t>0.03CRD1</t>
  </si>
  <si>
    <t>0.03CRD2</t>
  </si>
  <si>
    <t>SUM</t>
  </si>
  <si>
    <t>HF</t>
  </si>
  <si>
    <t>BAL =0</t>
  </si>
  <si>
    <t>(11)</t>
  </si>
  <si>
    <t>0.7PLAT</t>
  </si>
  <si>
    <t>0.5FCCU</t>
  </si>
  <si>
    <t>X1</t>
  </si>
  <si>
    <t>GASO</t>
  </si>
  <si>
    <t>(12)</t>
  </si>
  <si>
    <t>0.095TEL</t>
  </si>
  <si>
    <t>SUM</t>
  </si>
  <si>
    <t>-0.7PLAT</t>
  </si>
  <si>
    <t>FCCU</t>
  </si>
  <si>
    <t>43X1</t>
  </si>
  <si>
    <t>(13)</t>
  </si>
  <si>
    <t>0.038TEL</t>
  </si>
  <si>
    <t>-1.4PLAT</t>
  </si>
  <si>
    <t>0.5FCCU</t>
  </si>
  <si>
    <t>32X1</t>
  </si>
  <si>
    <t>(14)</t>
  </si>
  <si>
    <t>GASO</t>
  </si>
  <si>
    <t>(15)</t>
  </si>
  <si>
    <t>X4</t>
  </si>
  <si>
    <t>SUM</t>
  </si>
  <si>
    <t>0.95AFO</t>
  </si>
  <si>
    <t>X6</t>
  </si>
  <si>
    <t>X11</t>
  </si>
  <si>
    <t>BAL =0</t>
  </si>
  <si>
    <t>(16)</t>
  </si>
  <si>
    <t>0.79CRD2</t>
  </si>
  <si>
    <t>SUM</t>
  </si>
  <si>
    <t>X7</t>
  </si>
  <si>
    <t>X12</t>
  </si>
  <si>
    <t>BAL =0</t>
  </si>
  <si>
    <t>0.59CRD1.</t>
  </si>
  <si>
    <t>VACU</t>
  </si>
  <si>
    <t>0.05AFO</t>
  </si>
  <si>
    <t>X8</t>
  </si>
  <si>
    <t>X16</t>
  </si>
  <si>
    <t>0.5VACU</t>
  </si>
  <si>
    <t>X14</t>
  </si>
  <si>
    <t>X17</t>
  </si>
  <si>
    <t>(19)</t>
  </si>
  <si>
    <t>0.3FCCU</t>
  </si>
  <si>
    <t>SUM</t>
  </si>
  <si>
    <t>X10</t>
  </si>
  <si>
    <t>X15</t>
  </si>
  <si>
    <t>BAL =0</t>
  </si>
  <si>
    <t>(20)</t>
  </si>
  <si>
    <t>X6</t>
  </si>
  <si>
    <t>X8</t>
  </si>
  <si>
    <t>X9</t>
  </si>
  <si>
    <t>X10</t>
  </si>
  <si>
    <t>BFO</t>
  </si>
  <si>
    <t>(21)</t>
  </si>
  <si>
    <t>X11</t>
  </si>
  <si>
    <t>X13</t>
  </si>
  <si>
    <t>X15</t>
  </si>
  <si>
    <t>CFO</t>
  </si>
  <si>
    <t>(22)</t>
  </si>
  <si>
    <t>X16</t>
  </si>
  <si>
    <t xml:space="preserve">BAL =0 </t>
  </si>
  <si>
    <t>(23)</t>
  </si>
  <si>
    <t>1.2X10</t>
  </si>
  <si>
    <t>1.8BFO</t>
  </si>
  <si>
    <t>(24)</t>
  </si>
  <si>
    <t>-50X6</t>
  </si>
  <si>
    <t>690X7</t>
  </si>
  <si>
    <t>430X8</t>
  </si>
  <si>
    <t>-25X10</t>
  </si>
  <si>
    <t>290BFO</t>
  </si>
  <si>
    <t>0.7X11</t>
  </si>
  <si>
    <t>0.3X12</t>
  </si>
  <si>
    <t>4.3X14</t>
  </si>
  <si>
    <t>1.2X15</t>
  </si>
  <si>
    <t>2.8CFO</t>
  </si>
  <si>
    <t>(26)</t>
  </si>
  <si>
    <t>-50X11</t>
  </si>
  <si>
    <t>690X12</t>
  </si>
  <si>
    <t>430X13</t>
  </si>
  <si>
    <t>710X14</t>
  </si>
  <si>
    <t>-25X15</t>
  </si>
  <si>
    <t>430CFO</t>
  </si>
  <si>
    <t>&lt;=</t>
  </si>
  <si>
    <t>BAL &gt;=0</t>
  </si>
  <si>
    <t>BAL &lt;=0</t>
  </si>
  <si>
    <t>3.4X13</t>
  </si>
  <si>
    <t>&gt;=0</t>
  </si>
  <si>
    <t>&gt;=0</t>
  </si>
  <si>
    <t>X13</t>
  </si>
  <si>
    <t>の分解軽油</t>
  </si>
  <si>
    <t>最大利益</t>
  </si>
  <si>
    <t>百万円</t>
  </si>
  <si>
    <t>LPG</t>
  </si>
  <si>
    <t>ナフサ</t>
  </si>
  <si>
    <t>ガソリン</t>
  </si>
  <si>
    <t>灯油</t>
  </si>
  <si>
    <t>軽油</t>
  </si>
  <si>
    <t>A重油</t>
  </si>
  <si>
    <t>自家燃料</t>
  </si>
  <si>
    <t>圏油蒸留装置</t>
  </si>
  <si>
    <t>接触改質装置</t>
  </si>
  <si>
    <t>減圧蒸留装置</t>
  </si>
  <si>
    <t>BPCD</t>
  </si>
  <si>
    <t>原油1</t>
  </si>
  <si>
    <t>原油2</t>
  </si>
  <si>
    <t>原油総量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</si>
  <si>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</si>
  <si>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</si>
  <si>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</si>
  <si>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</si>
  <si>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</si>
  <si>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</si>
  <si>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</si>
  <si>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</si>
  <si>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</si>
  <si>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</si>
  <si>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</si>
  <si>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</si>
  <si>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</si>
  <si>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X1</t>
  </si>
  <si>
    <t>&gt;=0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</si>
  <si>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</si>
  <si>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</si>
  <si>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</si>
  <si>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</si>
  <si>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</si>
  <si>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</si>
  <si>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</si>
  <si>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</si>
  <si>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</si>
  <si>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</si>
  <si>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&lt;=</t>
  </si>
  <si>
    <t>BAL &gt;=0</t>
  </si>
  <si>
    <t>BAL &lt;=0</t>
  </si>
  <si>
    <t>0.095TEL</t>
  </si>
  <si>
    <t>SUM</t>
  </si>
  <si>
    <t>-0.7PLAT</t>
  </si>
  <si>
    <t>FCCU</t>
  </si>
  <si>
    <t>43X1</t>
  </si>
  <si>
    <t>BAL &gt;=0</t>
  </si>
  <si>
    <t>(13)</t>
  </si>
  <si>
    <t>0.038TEL</t>
  </si>
  <si>
    <t>-1.4PLAT</t>
  </si>
  <si>
    <t>0.5FCCU</t>
  </si>
  <si>
    <t>32X1</t>
  </si>
  <si>
    <t>(14)</t>
  </si>
  <si>
    <t>TEL</t>
  </si>
  <si>
    <t>0.0095TEL</t>
  </si>
  <si>
    <t>GASO</t>
  </si>
  <si>
    <t>BAL &lt;=0</t>
  </si>
  <si>
    <t>X13</t>
  </si>
  <si>
    <t>BAL &lt;=0</t>
  </si>
  <si>
    <t>(24)</t>
  </si>
  <si>
    <t>3.4X13</t>
  </si>
  <si>
    <t>(26)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</si>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</sst>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33" borderId="10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 quotePrefix="1">
      <alignment/>
    </xf>
    <xf numFmtId="176" fontId="0" fillId="35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/>
    </xf>
    <xf numFmtId="176" fontId="0" fillId="0" borderId="10" xfId="0" applyNumberFormat="1" applyBorder="1" applyAlignment="1">
      <alignment horizontal="left" vertical="center"/>
    </xf>
    <xf numFmtId="176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7" xfId="0" applyNumberFormat="1" applyBorder="1" applyAlignment="1">
      <alignment horizontal="left"/>
    </xf>
    <xf numFmtId="176" fontId="0" fillId="0" borderId="11" xfId="0" applyNumberFormat="1" applyBorder="1" applyAlignment="1">
      <alignment horizontal="left"/>
    </xf>
    <xf numFmtId="176" fontId="0" fillId="0" borderId="18" xfId="0" applyNumberFormat="1" applyBorder="1" applyAlignment="1">
      <alignment horizontal="left"/>
    </xf>
    <xf numFmtId="176" fontId="0" fillId="0" borderId="17" xfId="0" applyNumberFormat="1" applyBorder="1" applyAlignment="1" quotePrefix="1">
      <alignment horizontal="left"/>
    </xf>
    <xf numFmtId="176" fontId="0" fillId="0" borderId="11" xfId="0" applyNumberFormat="1" applyBorder="1" applyAlignment="1" quotePrefix="1">
      <alignment horizontal="left"/>
    </xf>
    <xf numFmtId="176" fontId="0" fillId="0" borderId="18" xfId="0" applyNumberFormat="1" applyBorder="1" applyAlignment="1" quotePrefix="1">
      <alignment horizontal="left"/>
    </xf>
    <xf numFmtId="176" fontId="0" fillId="0" borderId="17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70" zoomScaleNormal="70" zoomScalePageLayoutView="0" workbookViewId="0" topLeftCell="A1">
      <selection activeCell="Z45" sqref="Z45"/>
    </sheetView>
  </sheetViews>
  <sheetFormatPr defaultColWidth="9.00390625" defaultRowHeight="13.5"/>
  <cols>
    <col min="1" max="1" width="3.125" style="0" customWidth="1"/>
    <col min="2" max="2" width="2.875" style="0" customWidth="1"/>
    <col min="3" max="3" width="3.875" style="0" customWidth="1"/>
    <col min="4" max="4" width="13.125" style="0" customWidth="1"/>
    <col min="5" max="13" width="11.375" style="1" customWidth="1"/>
    <col min="14" max="14" width="3.625" style="1" customWidth="1"/>
    <col min="15" max="15" width="9.00390625" style="1" customWidth="1"/>
  </cols>
  <sheetData>
    <row r="1" spans="1:14" ht="13.5">
      <c r="A1" s="9" t="s">
        <v>57</v>
      </c>
      <c r="B1" s="9" t="s">
        <v>58</v>
      </c>
      <c r="C1" s="9" t="s">
        <v>59</v>
      </c>
      <c r="D1" s="9" t="s">
        <v>60</v>
      </c>
      <c r="E1" s="10" t="s">
        <v>61</v>
      </c>
      <c r="F1" s="10" t="s">
        <v>62</v>
      </c>
      <c r="G1" s="10" t="s">
        <v>63</v>
      </c>
      <c r="H1" s="10" t="s">
        <v>64</v>
      </c>
      <c r="I1" s="10" t="s">
        <v>65</v>
      </c>
      <c r="J1" s="10" t="s">
        <v>66</v>
      </c>
      <c r="K1" s="10" t="s">
        <v>67</v>
      </c>
      <c r="L1" s="10" t="s">
        <v>68</v>
      </c>
      <c r="M1" s="10" t="s">
        <v>69</v>
      </c>
      <c r="N1" s="6">
        <v>1</v>
      </c>
    </row>
    <row r="2" spans="1:14" ht="13.5">
      <c r="A2" s="8">
        <v>2</v>
      </c>
      <c r="C2" s="8"/>
      <c r="D2" s="8" t="s">
        <v>29</v>
      </c>
      <c r="E2" s="6"/>
      <c r="F2" s="6"/>
      <c r="G2" s="6"/>
      <c r="H2" s="6"/>
      <c r="I2" s="6"/>
      <c r="J2" s="6"/>
      <c r="K2" s="6"/>
      <c r="L2" s="6"/>
      <c r="M2" s="6"/>
      <c r="N2" s="6">
        <v>2</v>
      </c>
    </row>
    <row r="3" spans="1:14" ht="13.5">
      <c r="A3" s="8">
        <v>3</v>
      </c>
      <c r="B3" s="17" t="s">
        <v>30</v>
      </c>
      <c r="C3" s="11" t="s">
        <v>70</v>
      </c>
      <c r="D3" s="8" t="s">
        <v>30</v>
      </c>
      <c r="E3" s="6" t="s">
        <v>71</v>
      </c>
      <c r="F3" s="6"/>
      <c r="G3" s="6"/>
      <c r="H3" s="6"/>
      <c r="I3" s="6"/>
      <c r="J3" s="6"/>
      <c r="K3" s="6"/>
      <c r="L3" s="6"/>
      <c r="M3" s="6"/>
      <c r="N3" s="6">
        <v>3</v>
      </c>
    </row>
    <row r="4" spans="1:14" ht="13.5">
      <c r="A4" s="8">
        <v>4</v>
      </c>
      <c r="B4" s="18"/>
      <c r="C4" s="8"/>
      <c r="D4" s="8"/>
      <c r="E4" s="13" t="s">
        <v>72</v>
      </c>
      <c r="F4" s="6"/>
      <c r="G4" s="6"/>
      <c r="H4" s="6"/>
      <c r="I4" s="6"/>
      <c r="J4" s="6"/>
      <c r="K4" s="6"/>
      <c r="L4" s="6"/>
      <c r="M4" s="6"/>
      <c r="N4" s="6">
        <v>4</v>
      </c>
    </row>
    <row r="5" spans="1:14" ht="13.5">
      <c r="A5" s="8">
        <v>5</v>
      </c>
      <c r="B5" s="18"/>
      <c r="C5" s="8"/>
      <c r="D5" s="8" t="s">
        <v>73</v>
      </c>
      <c r="E5" s="6">
        <f>((1700*H41+1100*E30+330*I57*E31+1430*E32+1430*E33+1330*E34+1130*E35+930*E36+930*H55)-(870*E25+830*E26)-(110*E27+20*E28+70*E29+0.8*E37))/10^6</f>
        <v>15388.119521305174</v>
      </c>
      <c r="F5" s="6"/>
      <c r="G5" s="6"/>
      <c r="H5" s="6"/>
      <c r="I5" s="6"/>
      <c r="J5" s="6"/>
      <c r="K5" s="6"/>
      <c r="L5" s="6"/>
      <c r="M5" s="6"/>
      <c r="N5" s="6">
        <v>5</v>
      </c>
    </row>
    <row r="6" spans="1:14" ht="13.5">
      <c r="A6" s="8">
        <v>6</v>
      </c>
      <c r="B6" s="19"/>
      <c r="C6" s="8"/>
      <c r="D6" s="8"/>
      <c r="E6" s="6"/>
      <c r="F6" s="6"/>
      <c r="G6" s="6"/>
      <c r="H6" s="6"/>
      <c r="I6" s="10"/>
      <c r="J6" s="10"/>
      <c r="K6" s="10"/>
      <c r="L6" s="10"/>
      <c r="M6" s="10"/>
      <c r="N6" s="6">
        <v>6</v>
      </c>
    </row>
    <row r="7" spans="1:14" ht="13.5" customHeight="1">
      <c r="A7" s="8">
        <v>7</v>
      </c>
      <c r="B7" s="16" t="s">
        <v>31</v>
      </c>
      <c r="C7" s="8"/>
      <c r="D7" s="8" t="s">
        <v>74</v>
      </c>
      <c r="E7" s="6">
        <v>980.7313626002036</v>
      </c>
      <c r="F7" s="6" t="s">
        <v>230</v>
      </c>
      <c r="G7" s="6"/>
      <c r="H7" s="6"/>
      <c r="I7" s="6"/>
      <c r="J7" s="6"/>
      <c r="K7" s="6"/>
      <c r="L7" s="6"/>
      <c r="M7" s="6"/>
      <c r="N7" s="6">
        <v>7</v>
      </c>
    </row>
    <row r="8" spans="1:14" ht="13.5">
      <c r="A8" s="8">
        <v>8</v>
      </c>
      <c r="B8" s="16"/>
      <c r="C8" s="8"/>
      <c r="D8" s="8" t="s">
        <v>75</v>
      </c>
      <c r="E8" s="6">
        <v>3326.9281842076657</v>
      </c>
      <c r="F8" s="6" t="s">
        <v>230</v>
      </c>
      <c r="G8" s="6"/>
      <c r="H8" s="6"/>
      <c r="I8" s="6"/>
      <c r="J8" s="6"/>
      <c r="K8" s="6"/>
      <c r="L8" s="6"/>
      <c r="M8" s="6"/>
      <c r="N8" s="6">
        <v>8</v>
      </c>
    </row>
    <row r="9" spans="1:14" ht="13.5">
      <c r="A9" s="8">
        <v>9</v>
      </c>
      <c r="B9" s="16"/>
      <c r="C9" s="8"/>
      <c r="D9" s="8" t="s">
        <v>76</v>
      </c>
      <c r="E9" s="6">
        <v>4087.391503688075</v>
      </c>
      <c r="F9" s="6" t="s">
        <v>229</v>
      </c>
      <c r="G9" s="6"/>
      <c r="H9" s="6"/>
      <c r="I9" s="6"/>
      <c r="J9" s="6"/>
      <c r="K9" s="6"/>
      <c r="L9" s="6"/>
      <c r="M9" s="6"/>
      <c r="N9" s="6">
        <v>9</v>
      </c>
    </row>
    <row r="10" spans="1:14" ht="13.5">
      <c r="A10" s="8">
        <v>10</v>
      </c>
      <c r="B10" s="16"/>
      <c r="C10" s="8"/>
      <c r="D10" s="8" t="s">
        <v>77</v>
      </c>
      <c r="E10" s="6">
        <v>5826.928184207668</v>
      </c>
      <c r="F10" s="6" t="s">
        <v>229</v>
      </c>
      <c r="G10" s="6"/>
      <c r="H10" s="6"/>
      <c r="I10" s="6"/>
      <c r="J10" s="6"/>
      <c r="K10" s="6"/>
      <c r="L10" s="6"/>
      <c r="M10" s="6"/>
      <c r="N10" s="6">
        <v>10</v>
      </c>
    </row>
    <row r="11" spans="1:14" ht="13.5">
      <c r="A11" s="8">
        <v>11</v>
      </c>
      <c r="B11" s="16"/>
      <c r="C11" s="8"/>
      <c r="D11" s="8" t="s">
        <v>78</v>
      </c>
      <c r="E11" s="6">
        <v>521.7898932782321</v>
      </c>
      <c r="F11" s="6" t="s">
        <v>229</v>
      </c>
      <c r="G11" s="6"/>
      <c r="H11" s="6"/>
      <c r="I11" s="6"/>
      <c r="J11" s="6"/>
      <c r="K11" s="6"/>
      <c r="L11" s="6"/>
      <c r="M11" s="6"/>
      <c r="N11" s="6">
        <v>11</v>
      </c>
    </row>
    <row r="12" spans="1:14" ht="13.5">
      <c r="A12" s="8">
        <v>12</v>
      </c>
      <c r="B12" s="16"/>
      <c r="C12" s="8"/>
      <c r="D12" s="8" t="s">
        <v>79</v>
      </c>
      <c r="E12" s="6">
        <v>1983.0728835373534</v>
      </c>
      <c r="F12" s="6" t="s">
        <v>229</v>
      </c>
      <c r="G12" s="6"/>
      <c r="H12" s="6"/>
      <c r="I12" s="6"/>
      <c r="J12" s="6"/>
      <c r="K12" s="6"/>
      <c r="L12" s="6"/>
      <c r="M12" s="6"/>
      <c r="N12" s="6">
        <v>12</v>
      </c>
    </row>
    <row r="13" spans="1:14" ht="13.5">
      <c r="A13" s="8">
        <v>13</v>
      </c>
      <c r="B13" s="16"/>
      <c r="C13" s="8"/>
      <c r="D13" s="8" t="s">
        <v>80</v>
      </c>
      <c r="E13" s="6">
        <v>909.8804995053737</v>
      </c>
      <c r="F13" s="6" t="s">
        <v>229</v>
      </c>
      <c r="G13" s="6"/>
      <c r="H13" s="6"/>
      <c r="I13" s="6"/>
      <c r="J13" s="6"/>
      <c r="K13" s="6"/>
      <c r="L13" s="6"/>
      <c r="M13" s="6"/>
      <c r="N13" s="6">
        <v>13</v>
      </c>
    </row>
    <row r="14" spans="1:14" ht="13.5">
      <c r="A14" s="8">
        <v>14</v>
      </c>
      <c r="B14" s="16"/>
      <c r="C14" s="8"/>
      <c r="D14" s="8" t="s">
        <v>81</v>
      </c>
      <c r="E14" s="6">
        <v>2216.3755757182184</v>
      </c>
      <c r="F14" s="6" t="s">
        <v>229</v>
      </c>
      <c r="G14" s="6"/>
      <c r="H14" s="6"/>
      <c r="I14" s="6"/>
      <c r="J14" s="6"/>
      <c r="K14" s="6"/>
      <c r="L14" s="6"/>
      <c r="M14" s="6"/>
      <c r="N14" s="6">
        <v>14</v>
      </c>
    </row>
    <row r="15" spans="1:14" ht="13.5">
      <c r="A15" s="8">
        <v>15</v>
      </c>
      <c r="B15" s="16"/>
      <c r="C15" s="8"/>
      <c r="D15" s="8" t="s">
        <v>82</v>
      </c>
      <c r="E15" s="6">
        <v>0</v>
      </c>
      <c r="F15" s="6" t="s">
        <v>229</v>
      </c>
      <c r="G15" s="6"/>
      <c r="H15" s="6"/>
      <c r="I15" s="6"/>
      <c r="J15" s="6"/>
      <c r="K15" s="6"/>
      <c r="L15" s="6"/>
      <c r="M15" s="6"/>
      <c r="N15" s="6">
        <v>15</v>
      </c>
    </row>
    <row r="16" spans="1:14" ht="13.5">
      <c r="A16" s="8">
        <v>16</v>
      </c>
      <c r="B16" s="16"/>
      <c r="C16" s="8"/>
      <c r="D16" s="6" t="s">
        <v>83</v>
      </c>
      <c r="E16" s="6">
        <v>0</v>
      </c>
      <c r="F16" s="6" t="s">
        <v>229</v>
      </c>
      <c r="G16" s="6"/>
      <c r="H16" s="6"/>
      <c r="I16" s="6"/>
      <c r="J16" s="6"/>
      <c r="K16" s="6"/>
      <c r="L16" s="6"/>
      <c r="M16" s="6"/>
      <c r="N16" s="6">
        <v>16</v>
      </c>
    </row>
    <row r="17" spans="1:14" ht="13.5">
      <c r="A17" s="8">
        <v>17</v>
      </c>
      <c r="B17" s="16"/>
      <c r="C17" s="8"/>
      <c r="D17" s="6" t="s">
        <v>84</v>
      </c>
      <c r="E17" s="6">
        <v>2747.597049135791</v>
      </c>
      <c r="F17" s="6" t="s">
        <v>229</v>
      </c>
      <c r="G17" s="6"/>
      <c r="H17" s="6"/>
      <c r="I17" s="6"/>
      <c r="J17" s="6"/>
      <c r="K17" s="6"/>
      <c r="L17" s="6"/>
      <c r="M17" s="6"/>
      <c r="N17" s="6">
        <v>17</v>
      </c>
    </row>
    <row r="18" spans="1:14" ht="13.5">
      <c r="A18" s="8">
        <v>18</v>
      </c>
      <c r="B18" s="16"/>
      <c r="C18" s="8"/>
      <c r="D18" s="6" t="s">
        <v>12</v>
      </c>
      <c r="E18" s="6">
        <v>2874.7990527041843</v>
      </c>
      <c r="F18" s="6" t="s">
        <v>229</v>
      </c>
      <c r="G18" s="6"/>
      <c r="H18" s="6"/>
      <c r="I18" s="6"/>
      <c r="J18" s="6"/>
      <c r="K18" s="6"/>
      <c r="L18" s="6"/>
      <c r="M18" s="6"/>
      <c r="N18" s="6">
        <v>18</v>
      </c>
    </row>
    <row r="19" spans="1:14" ht="13.5">
      <c r="A19" s="8">
        <v>19</v>
      </c>
      <c r="B19" s="16"/>
      <c r="C19" s="8"/>
      <c r="D19" s="6" t="s">
        <v>13</v>
      </c>
      <c r="E19" s="6">
        <v>14399.393791438257</v>
      </c>
      <c r="F19" s="6" t="s">
        <v>229</v>
      </c>
      <c r="G19" s="6"/>
      <c r="H19" s="6"/>
      <c r="I19" s="6"/>
      <c r="J19" s="6"/>
      <c r="K19" s="6"/>
      <c r="L19" s="6"/>
      <c r="M19" s="6"/>
      <c r="N19" s="6">
        <v>19</v>
      </c>
    </row>
    <row r="20" spans="1:14" ht="13.5">
      <c r="A20" s="8">
        <v>20</v>
      </c>
      <c r="B20" s="16"/>
      <c r="C20" s="8"/>
      <c r="D20" s="6" t="s">
        <v>14</v>
      </c>
      <c r="E20" s="6">
        <v>4478.210106721767</v>
      </c>
      <c r="F20" s="6" t="s">
        <v>229</v>
      </c>
      <c r="G20" s="6"/>
      <c r="H20" s="6"/>
      <c r="I20" s="6"/>
      <c r="J20" s="6"/>
      <c r="K20" s="6"/>
      <c r="L20" s="6"/>
      <c r="M20" s="6"/>
      <c r="N20" s="6">
        <v>20</v>
      </c>
    </row>
    <row r="21" spans="1:14" ht="13.5">
      <c r="A21" s="8">
        <v>21</v>
      </c>
      <c r="B21" s="16"/>
      <c r="C21" s="8"/>
      <c r="D21" s="6" t="s">
        <v>15</v>
      </c>
      <c r="E21" s="6">
        <v>1500</v>
      </c>
      <c r="F21" s="6" t="s">
        <v>229</v>
      </c>
      <c r="G21" s="6"/>
      <c r="H21" s="6"/>
      <c r="I21" s="6"/>
      <c r="J21" s="6"/>
      <c r="K21" s="6"/>
      <c r="L21" s="6"/>
      <c r="M21" s="6"/>
      <c r="N21" s="6">
        <v>21</v>
      </c>
    </row>
    <row r="22" spans="1:14" ht="13.5">
      <c r="A22" s="8">
        <v>22</v>
      </c>
      <c r="B22" s="16"/>
      <c r="C22" s="8"/>
      <c r="D22" s="6" t="s">
        <v>16</v>
      </c>
      <c r="E22" s="6">
        <v>0</v>
      </c>
      <c r="F22" s="6" t="s">
        <v>229</v>
      </c>
      <c r="G22" s="6"/>
      <c r="H22" s="6"/>
      <c r="I22" s="6"/>
      <c r="J22" s="6"/>
      <c r="K22" s="6"/>
      <c r="L22" s="6"/>
      <c r="M22" s="6"/>
      <c r="N22" s="6">
        <v>22</v>
      </c>
    </row>
    <row r="23" spans="1:14" ht="13.5">
      <c r="A23" s="8">
        <v>23</v>
      </c>
      <c r="B23" s="16"/>
      <c r="C23" s="8"/>
      <c r="D23" s="6" t="s">
        <v>17</v>
      </c>
      <c r="E23" s="6">
        <v>521.7898932782321</v>
      </c>
      <c r="F23" s="6" t="s">
        <v>229</v>
      </c>
      <c r="G23" s="6"/>
      <c r="H23" s="6"/>
      <c r="I23" s="6"/>
      <c r="J23" s="6"/>
      <c r="K23" s="6"/>
      <c r="L23" s="6"/>
      <c r="M23" s="6"/>
      <c r="N23" s="6">
        <v>23</v>
      </c>
    </row>
    <row r="24" spans="1:14" ht="13.5" customHeight="1">
      <c r="A24" s="8">
        <v>24</v>
      </c>
      <c r="B24" s="20" t="s">
        <v>54</v>
      </c>
      <c r="C24" s="12"/>
      <c r="D24" s="6" t="s">
        <v>85</v>
      </c>
      <c r="E24" s="6">
        <v>50000</v>
      </c>
      <c r="F24" s="13" t="s">
        <v>225</v>
      </c>
      <c r="G24" s="6">
        <v>50000</v>
      </c>
      <c r="H24" s="6"/>
      <c r="I24" s="6"/>
      <c r="J24" s="6"/>
      <c r="K24" s="6"/>
      <c r="L24" s="6"/>
      <c r="M24" s="6"/>
      <c r="N24" s="6">
        <v>24</v>
      </c>
    </row>
    <row r="25" spans="1:14" ht="13.5">
      <c r="A25" s="8">
        <v>25</v>
      </c>
      <c r="B25" s="21"/>
      <c r="C25" s="12"/>
      <c r="D25" s="8" t="s">
        <v>86</v>
      </c>
      <c r="E25" s="6">
        <v>45209.26638960817</v>
      </c>
      <c r="F25" s="13" t="s">
        <v>225</v>
      </c>
      <c r="G25" s="6">
        <v>50000</v>
      </c>
      <c r="H25" s="6"/>
      <c r="I25" s="6"/>
      <c r="J25" s="6"/>
      <c r="K25" s="6"/>
      <c r="L25" s="6"/>
      <c r="M25" s="6"/>
      <c r="N25" s="6">
        <v>25</v>
      </c>
    </row>
    <row r="26" spans="1:14" ht="13.5">
      <c r="A26" s="8">
        <v>26</v>
      </c>
      <c r="B26" s="21"/>
      <c r="C26" s="12"/>
      <c r="D26" s="6" t="s">
        <v>87</v>
      </c>
      <c r="E26" s="6">
        <v>4790.733610391846</v>
      </c>
      <c r="F26" s="13" t="s">
        <v>225</v>
      </c>
      <c r="G26" s="6">
        <v>5000</v>
      </c>
      <c r="H26" s="14"/>
      <c r="I26" s="6"/>
      <c r="J26" s="6"/>
      <c r="K26" s="6"/>
      <c r="L26" s="6"/>
      <c r="M26" s="6"/>
      <c r="N26" s="6">
        <v>26</v>
      </c>
    </row>
    <row r="27" spans="1:14" ht="13.5">
      <c r="A27" s="8">
        <v>27</v>
      </c>
      <c r="B27" s="21"/>
      <c r="C27" s="12"/>
      <c r="D27" s="6" t="s">
        <v>88</v>
      </c>
      <c r="E27" s="6">
        <v>4782.1010672176835</v>
      </c>
      <c r="F27" s="13" t="s">
        <v>225</v>
      </c>
      <c r="G27" s="6">
        <v>6000</v>
      </c>
      <c r="H27" s="6"/>
      <c r="I27" s="6"/>
      <c r="J27" s="6"/>
      <c r="K27" s="6"/>
      <c r="L27" s="6"/>
      <c r="M27" s="6"/>
      <c r="N27" s="6">
        <v>27</v>
      </c>
    </row>
    <row r="28" spans="1:14" ht="13.5">
      <c r="A28" s="8">
        <v>28</v>
      </c>
      <c r="B28" s="21"/>
      <c r="C28" s="12"/>
      <c r="D28" s="6" t="s">
        <v>89</v>
      </c>
      <c r="E28" s="6">
        <v>10000</v>
      </c>
      <c r="F28" s="13" t="s">
        <v>225</v>
      </c>
      <c r="G28" s="6">
        <v>10000</v>
      </c>
      <c r="H28" s="6"/>
      <c r="I28" s="6"/>
      <c r="J28" s="6"/>
      <c r="K28" s="6"/>
      <c r="L28" s="6"/>
      <c r="M28" s="6"/>
      <c r="N28" s="6">
        <v>28</v>
      </c>
    </row>
    <row r="29" spans="1:14" ht="13.5">
      <c r="A29" s="8">
        <v>29</v>
      </c>
      <c r="B29" s="21"/>
      <c r="C29" s="8"/>
      <c r="D29" s="6" t="s">
        <v>90</v>
      </c>
      <c r="E29" s="6">
        <v>5000</v>
      </c>
      <c r="F29" s="13" t="s">
        <v>225</v>
      </c>
      <c r="G29" s="6">
        <v>6000</v>
      </c>
      <c r="H29" s="6"/>
      <c r="I29" s="6"/>
      <c r="J29" s="6"/>
      <c r="K29" s="6"/>
      <c r="L29" s="6"/>
      <c r="M29" s="6"/>
      <c r="N29" s="6">
        <v>29</v>
      </c>
    </row>
    <row r="30" spans="1:14" ht="13.5">
      <c r="A30" s="8">
        <v>30</v>
      </c>
      <c r="B30" s="21"/>
      <c r="C30" s="8"/>
      <c r="D30" s="6" t="s">
        <v>91</v>
      </c>
      <c r="E30" s="6">
        <v>2000</v>
      </c>
      <c r="F30" s="13" t="s">
        <v>92</v>
      </c>
      <c r="G30" s="6">
        <v>2000</v>
      </c>
      <c r="H30" s="6"/>
      <c r="I30" s="6"/>
      <c r="J30" s="6"/>
      <c r="K30" s="6"/>
      <c r="L30" s="6"/>
      <c r="M30" s="6"/>
      <c r="N30" s="6">
        <v>30</v>
      </c>
    </row>
    <row r="31" spans="1:14" ht="13.5">
      <c r="A31" s="8">
        <v>31</v>
      </c>
      <c r="B31" s="21"/>
      <c r="C31" s="8"/>
      <c r="D31" s="14" t="s">
        <v>93</v>
      </c>
      <c r="E31" s="6">
        <v>6828.202109652581</v>
      </c>
      <c r="F31" s="13" t="s">
        <v>225</v>
      </c>
      <c r="G31" s="6">
        <v>7500</v>
      </c>
      <c r="H31" s="13" t="s">
        <v>94</v>
      </c>
      <c r="I31" s="6">
        <v>6800</v>
      </c>
      <c r="J31" s="6"/>
      <c r="K31" s="6"/>
      <c r="L31" s="6"/>
      <c r="M31" s="6"/>
      <c r="N31" s="6">
        <v>31</v>
      </c>
    </row>
    <row r="32" spans="1:14" ht="13.5">
      <c r="A32" s="8">
        <v>32</v>
      </c>
      <c r="B32" s="21"/>
      <c r="C32" s="8"/>
      <c r="D32" s="6" t="s">
        <v>95</v>
      </c>
      <c r="E32" s="6">
        <v>2500</v>
      </c>
      <c r="F32" s="13" t="s">
        <v>92</v>
      </c>
      <c r="G32" s="6">
        <v>2500</v>
      </c>
      <c r="H32" s="6"/>
      <c r="I32" s="6"/>
      <c r="J32" s="6"/>
      <c r="K32" s="6"/>
      <c r="L32" s="6"/>
      <c r="M32" s="6"/>
      <c r="N32" s="6">
        <v>32</v>
      </c>
    </row>
    <row r="33" spans="1:14" ht="13.5">
      <c r="A33" s="8">
        <v>33</v>
      </c>
      <c r="B33" s="21"/>
      <c r="C33" s="8"/>
      <c r="D33" s="6" t="s">
        <v>96</v>
      </c>
      <c r="E33" s="6">
        <v>3000</v>
      </c>
      <c r="F33" s="13" t="s">
        <v>92</v>
      </c>
      <c r="G33" s="6">
        <v>3000</v>
      </c>
      <c r="H33" s="6"/>
      <c r="I33" s="6"/>
      <c r="J33" s="6"/>
      <c r="K33" s="6"/>
      <c r="L33" s="6"/>
      <c r="M33" s="6"/>
      <c r="N33" s="6">
        <v>33</v>
      </c>
    </row>
    <row r="34" spans="1:14" ht="13.5">
      <c r="A34" s="8">
        <v>34</v>
      </c>
      <c r="B34" s="21"/>
      <c r="C34" s="8"/>
      <c r="D34" s="6" t="s">
        <v>97</v>
      </c>
      <c r="E34" s="15">
        <v>1153.9560542468669</v>
      </c>
      <c r="F34" s="13" t="s">
        <v>225</v>
      </c>
      <c r="G34" s="6">
        <v>3700</v>
      </c>
      <c r="H34" s="6"/>
      <c r="I34" s="6"/>
      <c r="J34" s="6"/>
      <c r="K34" s="6"/>
      <c r="L34" s="6"/>
      <c r="M34" s="6"/>
      <c r="N34" s="6">
        <v>34</v>
      </c>
    </row>
    <row r="35" spans="1:14" ht="13.5">
      <c r="A35" s="8">
        <v>35</v>
      </c>
      <c r="B35" s="21"/>
      <c r="C35" s="8"/>
      <c r="D35" s="14" t="s">
        <v>98</v>
      </c>
      <c r="E35" s="6">
        <v>5109.328958760946</v>
      </c>
      <c r="F35" s="13" t="s">
        <v>225</v>
      </c>
      <c r="G35" s="6">
        <v>5200</v>
      </c>
      <c r="H35" s="13" t="s">
        <v>94</v>
      </c>
      <c r="I35" s="6">
        <v>4200</v>
      </c>
      <c r="J35" s="6"/>
      <c r="K35" s="6"/>
      <c r="L35" s="6"/>
      <c r="M35" s="6"/>
      <c r="N35" s="6">
        <v>35</v>
      </c>
    </row>
    <row r="36" spans="1:14" ht="13.5">
      <c r="A36" s="8">
        <v>36</v>
      </c>
      <c r="B36" s="21"/>
      <c r="C36" s="8"/>
      <c r="D36" s="6" t="s">
        <v>99</v>
      </c>
      <c r="E36" s="6">
        <v>26000</v>
      </c>
      <c r="F36" s="13" t="s">
        <v>225</v>
      </c>
      <c r="G36" s="6">
        <v>26000</v>
      </c>
      <c r="H36" s="6"/>
      <c r="I36" s="6"/>
      <c r="J36" s="6"/>
      <c r="K36" s="6"/>
      <c r="L36" s="6"/>
      <c r="M36" s="6"/>
      <c r="N36" s="6">
        <v>36</v>
      </c>
    </row>
    <row r="37" spans="1:14" ht="13.5">
      <c r="A37" s="8">
        <v>37</v>
      </c>
      <c r="B37" s="21"/>
      <c r="C37" s="8"/>
      <c r="D37" s="6" t="s">
        <v>100</v>
      </c>
      <c r="E37" s="6">
        <v>715485.8449763621</v>
      </c>
      <c r="F37" s="13"/>
      <c r="G37" s="6"/>
      <c r="H37" s="6"/>
      <c r="I37" s="6"/>
      <c r="J37" s="6"/>
      <c r="K37" s="6"/>
      <c r="L37" s="6"/>
      <c r="M37" s="6"/>
      <c r="N37" s="6">
        <v>37</v>
      </c>
    </row>
    <row r="38" spans="1:14" ht="13.5">
      <c r="A38" s="8">
        <v>38</v>
      </c>
      <c r="B38" s="21"/>
      <c r="C38" s="12" t="s">
        <v>101</v>
      </c>
      <c r="D38" s="6" t="s">
        <v>32</v>
      </c>
      <c r="E38" s="6" t="s">
        <v>102</v>
      </c>
      <c r="F38" s="6" t="s">
        <v>103</v>
      </c>
      <c r="G38" s="2" t="s">
        <v>104</v>
      </c>
      <c r="H38" s="6" t="s">
        <v>105</v>
      </c>
      <c r="J38" s="6"/>
      <c r="K38" s="6"/>
      <c r="L38" s="6"/>
      <c r="M38" s="15" t="s">
        <v>226</v>
      </c>
      <c r="N38" s="6">
        <v>38</v>
      </c>
    </row>
    <row r="39" spans="1:14" ht="13.5">
      <c r="A39" s="8">
        <v>39</v>
      </c>
      <c r="B39" s="22"/>
      <c r="C39" s="7"/>
      <c r="D39" s="8"/>
      <c r="E39" s="6">
        <f>E25</f>
        <v>45209.26638960817</v>
      </c>
      <c r="F39" s="6">
        <f>E26</f>
        <v>4790.733610391846</v>
      </c>
      <c r="G39" s="6">
        <f>E39+F39</f>
        <v>50000.000000000015</v>
      </c>
      <c r="H39" s="6">
        <f>G24</f>
        <v>50000</v>
      </c>
      <c r="J39" s="6"/>
      <c r="K39" s="6"/>
      <c r="L39" s="6"/>
      <c r="M39" s="3">
        <f>H39-G39</f>
        <v>0</v>
      </c>
      <c r="N39" s="6">
        <v>39</v>
      </c>
    </row>
    <row r="40" spans="1:14" ht="13.5">
      <c r="A40" s="8">
        <v>40</v>
      </c>
      <c r="B40" s="16" t="s">
        <v>55</v>
      </c>
      <c r="C40" s="12" t="s">
        <v>106</v>
      </c>
      <c r="D40" s="8" t="s">
        <v>0</v>
      </c>
      <c r="E40" s="6" t="s">
        <v>107</v>
      </c>
      <c r="F40" s="6" t="s">
        <v>108</v>
      </c>
      <c r="G40" s="6" t="s">
        <v>109</v>
      </c>
      <c r="H40" s="3" t="s">
        <v>110</v>
      </c>
      <c r="I40" s="6"/>
      <c r="J40" s="6"/>
      <c r="K40" s="6"/>
      <c r="L40" s="6"/>
      <c r="M40" s="6"/>
      <c r="N40" s="6">
        <v>40</v>
      </c>
    </row>
    <row r="41" spans="1:14" ht="13.5">
      <c r="A41" s="8">
        <v>41</v>
      </c>
      <c r="B41" s="16"/>
      <c r="C41" s="7"/>
      <c r="D41" s="8"/>
      <c r="E41" s="6">
        <f>0.01*E39</f>
        <v>452.0926638960817</v>
      </c>
      <c r="F41" s="6">
        <f>0.2*E27</f>
        <v>956.4202134435368</v>
      </c>
      <c r="G41" s="6">
        <f>0.2*E29</f>
        <v>1000</v>
      </c>
      <c r="H41" s="3">
        <f>E41+F41+G41</f>
        <v>2408.5128773396186</v>
      </c>
      <c r="I41" s="6"/>
      <c r="J41" s="6"/>
      <c r="K41" s="6"/>
      <c r="L41" s="6"/>
      <c r="M41" s="6"/>
      <c r="N41" s="6">
        <v>41</v>
      </c>
    </row>
    <row r="42" spans="1:14" ht="13.5">
      <c r="A42" s="8">
        <v>42</v>
      </c>
      <c r="B42" s="16"/>
      <c r="C42" s="12" t="s">
        <v>111</v>
      </c>
      <c r="D42" s="8" t="s">
        <v>1</v>
      </c>
      <c r="E42" s="6" t="s">
        <v>112</v>
      </c>
      <c r="F42" s="6" t="s">
        <v>113</v>
      </c>
      <c r="G42" s="2" t="s">
        <v>39</v>
      </c>
      <c r="H42" s="6" t="s">
        <v>114</v>
      </c>
      <c r="I42" s="6" t="s">
        <v>115</v>
      </c>
      <c r="J42" s="6" t="s">
        <v>116</v>
      </c>
      <c r="K42" s="6" t="s">
        <v>117</v>
      </c>
      <c r="L42" s="2" t="s">
        <v>39</v>
      </c>
      <c r="M42" s="15" t="s">
        <v>118</v>
      </c>
      <c r="N42" s="6">
        <v>42</v>
      </c>
    </row>
    <row r="43" spans="1:14" ht="13.5">
      <c r="A43" s="8">
        <v>43</v>
      </c>
      <c r="B43" s="16"/>
      <c r="C43" s="7"/>
      <c r="D43" s="8" t="s">
        <v>119</v>
      </c>
      <c r="E43" s="6">
        <f>0.24*E25</f>
        <v>10850.22393350596</v>
      </c>
      <c r="F43" s="6">
        <f>0.05*E26</f>
        <v>239.53668051959232</v>
      </c>
      <c r="G43" s="6">
        <f>E43+F43</f>
        <v>11089.760614025552</v>
      </c>
      <c r="H43" s="6">
        <f>E27</f>
        <v>4782.1010672176835</v>
      </c>
      <c r="I43" s="6">
        <f>E30</f>
        <v>2000</v>
      </c>
      <c r="J43" s="6">
        <f>E7</f>
        <v>980.7313626002036</v>
      </c>
      <c r="K43" s="6">
        <f>E8</f>
        <v>3326.9281842076657</v>
      </c>
      <c r="L43" s="6">
        <f>H43+I43+J43+K43</f>
        <v>11089.760614025552</v>
      </c>
      <c r="M43" s="3">
        <f>G43-L43</f>
        <v>0</v>
      </c>
      <c r="N43" s="6">
        <v>43</v>
      </c>
    </row>
    <row r="44" spans="1:14" ht="13.5">
      <c r="A44" s="8">
        <v>44</v>
      </c>
      <c r="B44" s="16"/>
      <c r="C44" s="12" t="s">
        <v>120</v>
      </c>
      <c r="D44" s="8" t="s">
        <v>40</v>
      </c>
      <c r="E44" s="6" t="s">
        <v>112</v>
      </c>
      <c r="F44" s="6" t="s">
        <v>113</v>
      </c>
      <c r="G44" s="4" t="s">
        <v>121</v>
      </c>
      <c r="H44" s="6" t="s">
        <v>117</v>
      </c>
      <c r="J44" s="6"/>
      <c r="K44" s="6"/>
      <c r="L44" s="6"/>
      <c r="M44" s="15" t="s">
        <v>227</v>
      </c>
      <c r="N44" s="6">
        <v>44</v>
      </c>
    </row>
    <row r="45" spans="1:14" ht="13.5">
      <c r="A45" s="8">
        <v>45</v>
      </c>
      <c r="B45" s="16"/>
      <c r="C45" s="7"/>
      <c r="D45" s="8"/>
      <c r="E45" s="6">
        <f>0.24*E25</f>
        <v>10850.22393350596</v>
      </c>
      <c r="F45" s="6">
        <f>0.05*E26</f>
        <v>239.53668051959232</v>
      </c>
      <c r="G45" s="6">
        <f>(E45+F45)*0.3</f>
        <v>3326.9281842076657</v>
      </c>
      <c r="H45" s="6">
        <f>E8</f>
        <v>3326.9281842076657</v>
      </c>
      <c r="J45" s="6"/>
      <c r="K45" s="6"/>
      <c r="L45" s="6"/>
      <c r="M45" s="3">
        <f>G45-H45</f>
        <v>0</v>
      </c>
      <c r="N45" s="6">
        <v>45</v>
      </c>
    </row>
    <row r="46" spans="1:14" ht="13.5">
      <c r="A46" s="8">
        <v>46</v>
      </c>
      <c r="B46" s="16"/>
      <c r="C46" s="12" t="s">
        <v>43</v>
      </c>
      <c r="D46" s="8" t="s">
        <v>2</v>
      </c>
      <c r="E46" s="6" t="s">
        <v>122</v>
      </c>
      <c r="F46" s="6" t="s">
        <v>123</v>
      </c>
      <c r="G46" s="6" t="s">
        <v>117</v>
      </c>
      <c r="H46" s="2" t="s">
        <v>39</v>
      </c>
      <c r="I46" s="6" t="s">
        <v>124</v>
      </c>
      <c r="J46" s="6" t="s">
        <v>125</v>
      </c>
      <c r="K46" s="2" t="s">
        <v>39</v>
      </c>
      <c r="M46" s="15" t="s">
        <v>118</v>
      </c>
      <c r="N46" s="6">
        <v>46</v>
      </c>
    </row>
    <row r="47" spans="1:14" ht="13.5">
      <c r="A47" s="8">
        <v>47</v>
      </c>
      <c r="B47" s="16"/>
      <c r="C47" s="7"/>
      <c r="D47" s="8"/>
      <c r="E47" s="6">
        <f>0.07*E25</f>
        <v>3164.6486472725724</v>
      </c>
      <c r="F47" s="15">
        <f>0.02*E26</f>
        <v>95.81467220783692</v>
      </c>
      <c r="G47" s="6">
        <f>E8</f>
        <v>3326.9281842076657</v>
      </c>
      <c r="H47" s="15">
        <f>E47+F47+G47</f>
        <v>6587.391503688075</v>
      </c>
      <c r="I47" s="6">
        <f>E32</f>
        <v>2500</v>
      </c>
      <c r="J47" s="6">
        <f>E9</f>
        <v>4087.391503688075</v>
      </c>
      <c r="K47" s="6">
        <f>I47+J47</f>
        <v>6587.391503688075</v>
      </c>
      <c r="M47" s="3">
        <f>H47-K47</f>
        <v>0</v>
      </c>
      <c r="N47" s="6">
        <v>47</v>
      </c>
    </row>
    <row r="48" spans="1:14" ht="13.5">
      <c r="A48" s="8">
        <v>48</v>
      </c>
      <c r="B48" s="16"/>
      <c r="C48" s="12" t="s">
        <v>126</v>
      </c>
      <c r="D48" s="8" t="s">
        <v>3</v>
      </c>
      <c r="E48" s="13" t="s">
        <v>127</v>
      </c>
      <c r="F48" s="6" t="s">
        <v>128</v>
      </c>
      <c r="G48" s="6" t="s">
        <v>125</v>
      </c>
      <c r="H48" s="2" t="s">
        <v>39</v>
      </c>
      <c r="I48" s="6" t="s">
        <v>129</v>
      </c>
      <c r="J48" s="6" t="s">
        <v>49</v>
      </c>
      <c r="K48" s="2" t="s">
        <v>39</v>
      </c>
      <c r="M48" s="15" t="s">
        <v>118</v>
      </c>
      <c r="N48" s="6">
        <v>48</v>
      </c>
    </row>
    <row r="49" spans="1:14" ht="13.5">
      <c r="A49" s="8">
        <v>49</v>
      </c>
      <c r="B49" s="16"/>
      <c r="C49" s="7"/>
      <c r="D49" s="8"/>
      <c r="E49" s="6">
        <f>0.09*E25</f>
        <v>4068.8339750647356</v>
      </c>
      <c r="F49" s="6">
        <f>0.14*E26</f>
        <v>670.7027054548585</v>
      </c>
      <c r="G49" s="6">
        <f>E9</f>
        <v>4087.391503688075</v>
      </c>
      <c r="H49" s="6">
        <f>E49+F49+G49</f>
        <v>8826.928184207669</v>
      </c>
      <c r="I49" s="6">
        <f>E33</f>
        <v>3000</v>
      </c>
      <c r="J49" s="6">
        <f>E10</f>
        <v>5826.928184207668</v>
      </c>
      <c r="K49" s="6">
        <f>I49+J49</f>
        <v>8826.928184207667</v>
      </c>
      <c r="M49" s="3">
        <f>H49-K49</f>
        <v>0</v>
      </c>
      <c r="N49" s="6">
        <v>49</v>
      </c>
    </row>
    <row r="50" spans="1:14" ht="13.5">
      <c r="A50" s="8">
        <v>50</v>
      </c>
      <c r="B50" s="16"/>
      <c r="C50" s="12" t="s">
        <v>130</v>
      </c>
      <c r="D50" s="8" t="s">
        <v>131</v>
      </c>
      <c r="E50" s="6" t="s">
        <v>132</v>
      </c>
      <c r="F50" s="6" t="s">
        <v>133</v>
      </c>
      <c r="H50" s="6"/>
      <c r="I50" s="6"/>
      <c r="J50" s="6"/>
      <c r="K50" s="6"/>
      <c r="L50" s="6"/>
      <c r="M50" s="15" t="s">
        <v>118</v>
      </c>
      <c r="N50" s="6">
        <v>50</v>
      </c>
    </row>
    <row r="51" spans="1:14" ht="13.5">
      <c r="A51" s="8">
        <v>51</v>
      </c>
      <c r="B51" s="16"/>
      <c r="C51" s="7"/>
      <c r="D51" s="8"/>
      <c r="E51" s="6">
        <f>E29</f>
        <v>5000</v>
      </c>
      <c r="F51" s="6">
        <f>0.5*E28</f>
        <v>5000</v>
      </c>
      <c r="H51" s="6"/>
      <c r="I51" s="6"/>
      <c r="J51" s="6"/>
      <c r="K51" s="6"/>
      <c r="L51" s="6"/>
      <c r="M51" s="3">
        <f>E51-F51</f>
        <v>0</v>
      </c>
      <c r="N51" s="6">
        <v>51</v>
      </c>
    </row>
    <row r="52" spans="1:14" ht="13.5">
      <c r="A52" s="8">
        <v>52</v>
      </c>
      <c r="B52" s="16"/>
      <c r="C52" s="12" t="s">
        <v>134</v>
      </c>
      <c r="D52" s="8" t="s">
        <v>4</v>
      </c>
      <c r="E52" s="6" t="s">
        <v>135</v>
      </c>
      <c r="F52" s="6" t="s">
        <v>136</v>
      </c>
      <c r="G52" s="6" t="s">
        <v>137</v>
      </c>
      <c r="H52" s="3" t="s">
        <v>138</v>
      </c>
      <c r="I52" s="6"/>
      <c r="J52" s="6"/>
      <c r="K52" s="6"/>
      <c r="L52" s="6"/>
      <c r="M52" s="6"/>
      <c r="N52" s="6">
        <v>52</v>
      </c>
    </row>
    <row r="53" spans="1:14" ht="13.5">
      <c r="A53" s="8">
        <v>53</v>
      </c>
      <c r="B53" s="16"/>
      <c r="C53" s="7"/>
      <c r="D53" s="8"/>
      <c r="E53" s="6">
        <f>0.1*E27</f>
        <v>478.2101067217684</v>
      </c>
      <c r="F53" s="15">
        <f>0.1*E29</f>
        <v>500</v>
      </c>
      <c r="G53" s="6">
        <f>E11</f>
        <v>521.7898932782321</v>
      </c>
      <c r="H53" s="3">
        <f>E53+F53+G53</f>
        <v>1500.0000000000005</v>
      </c>
      <c r="I53" s="6"/>
      <c r="J53" s="6"/>
      <c r="K53" s="6"/>
      <c r="L53" s="6"/>
      <c r="M53" s="6"/>
      <c r="N53" s="6">
        <v>53</v>
      </c>
    </row>
    <row r="54" spans="1:14" ht="13.5">
      <c r="A54" s="8">
        <v>54</v>
      </c>
      <c r="B54" s="16"/>
      <c r="C54" s="12" t="s">
        <v>139</v>
      </c>
      <c r="D54" s="8" t="s">
        <v>5</v>
      </c>
      <c r="E54" s="6" t="s">
        <v>140</v>
      </c>
      <c r="F54" s="6" t="s">
        <v>141</v>
      </c>
      <c r="G54" s="2" t="s">
        <v>142</v>
      </c>
      <c r="H54" s="6" t="s">
        <v>143</v>
      </c>
      <c r="J54" s="6"/>
      <c r="K54" s="6"/>
      <c r="L54" s="6"/>
      <c r="M54" s="15" t="s">
        <v>144</v>
      </c>
      <c r="N54" s="6">
        <v>54</v>
      </c>
    </row>
    <row r="55" spans="1:14" ht="13.5">
      <c r="A55" s="8">
        <v>55</v>
      </c>
      <c r="B55" s="16"/>
      <c r="C55" s="7"/>
      <c r="D55" s="8"/>
      <c r="E55" s="6">
        <f>0.03*E25</f>
        <v>1356.277991688245</v>
      </c>
      <c r="F55" s="15">
        <f>0.03*E26</f>
        <v>143.7220083117554</v>
      </c>
      <c r="G55" s="6">
        <f>E55+F55</f>
        <v>1500.0000000000005</v>
      </c>
      <c r="H55" s="6">
        <f>H53</f>
        <v>1500.0000000000005</v>
      </c>
      <c r="J55" s="6"/>
      <c r="K55" s="6"/>
      <c r="L55" s="6"/>
      <c r="M55" s="3">
        <f>G55-H53</f>
        <v>0</v>
      </c>
      <c r="N55" s="6">
        <v>55</v>
      </c>
    </row>
    <row r="56" spans="1:14" ht="13.5" customHeight="1">
      <c r="A56" s="8">
        <v>56</v>
      </c>
      <c r="B56" s="16" t="s">
        <v>6</v>
      </c>
      <c r="C56" s="12" t="s">
        <v>145</v>
      </c>
      <c r="D56" s="8" t="s">
        <v>7</v>
      </c>
      <c r="E56" s="6" t="s">
        <v>146</v>
      </c>
      <c r="F56" s="6" t="s">
        <v>147</v>
      </c>
      <c r="G56" s="6" t="s">
        <v>148</v>
      </c>
      <c r="H56" s="2" t="s">
        <v>37</v>
      </c>
      <c r="I56" s="6" t="s">
        <v>149</v>
      </c>
      <c r="K56" s="6"/>
      <c r="L56" s="6"/>
      <c r="M56" s="15" t="s">
        <v>34</v>
      </c>
      <c r="N56" s="6">
        <v>56</v>
      </c>
    </row>
    <row r="57" spans="1:14" ht="13.5">
      <c r="A57" s="8">
        <v>57</v>
      </c>
      <c r="B57" s="16"/>
      <c r="C57" s="7"/>
      <c r="D57" s="8" t="s">
        <v>8</v>
      </c>
      <c r="E57" s="6">
        <f>0.7*E27</f>
        <v>3347.470747052378</v>
      </c>
      <c r="F57" s="15">
        <f>0.5*E29</f>
        <v>2500</v>
      </c>
      <c r="G57" s="15">
        <f>E7</f>
        <v>980.7313626002036</v>
      </c>
      <c r="H57" s="6">
        <f>E57+F57+G57</f>
        <v>6828.202109652581</v>
      </c>
      <c r="I57" s="6">
        <f>E31</f>
        <v>6828.202109652581</v>
      </c>
      <c r="K57" s="6"/>
      <c r="L57" s="6"/>
      <c r="M57" s="3">
        <f>H57-I57</f>
        <v>0</v>
      </c>
      <c r="N57" s="6">
        <v>57</v>
      </c>
    </row>
    <row r="58" spans="1:14" ht="13.5">
      <c r="A58" s="8">
        <v>58</v>
      </c>
      <c r="B58" s="16"/>
      <c r="C58" s="12" t="s">
        <v>150</v>
      </c>
      <c r="D58" s="8" t="s">
        <v>9</v>
      </c>
      <c r="E58" s="6" t="s">
        <v>151</v>
      </c>
      <c r="F58" s="5" t="s">
        <v>152</v>
      </c>
      <c r="G58" s="13" t="s">
        <v>153</v>
      </c>
      <c r="H58" s="6" t="s">
        <v>154</v>
      </c>
      <c r="I58" s="6" t="s">
        <v>155</v>
      </c>
      <c r="J58" s="5" t="s">
        <v>152</v>
      </c>
      <c r="L58" s="6"/>
      <c r="M58" s="15" t="s">
        <v>226</v>
      </c>
      <c r="N58" s="6">
        <v>58</v>
      </c>
    </row>
    <row r="59" spans="1:14" ht="13.5">
      <c r="A59" s="8">
        <v>59</v>
      </c>
      <c r="B59" s="16"/>
      <c r="C59" s="7"/>
      <c r="D59" s="8"/>
      <c r="E59" s="6">
        <f>0.095*E37</f>
        <v>67971.1552727544</v>
      </c>
      <c r="F59" s="6">
        <f>E59</f>
        <v>67971.1552727544</v>
      </c>
      <c r="G59" s="6">
        <f>-0.7*E27</f>
        <v>-3347.470747052378</v>
      </c>
      <c r="H59" s="6">
        <f>E29</f>
        <v>5000</v>
      </c>
      <c r="I59" s="6">
        <f>43*E7</f>
        <v>42171.44859180876</v>
      </c>
      <c r="J59" s="6">
        <f>G59+H59+I59</f>
        <v>43823.97784475638</v>
      </c>
      <c r="L59" s="6"/>
      <c r="M59" s="3">
        <f>F59-J59</f>
        <v>24147.177427998024</v>
      </c>
      <c r="N59" s="6">
        <v>59</v>
      </c>
    </row>
    <row r="60" spans="1:14" ht="13.5">
      <c r="A60" s="8">
        <v>60</v>
      </c>
      <c r="B60" s="16"/>
      <c r="C60" s="12" t="s">
        <v>156</v>
      </c>
      <c r="D60" s="8"/>
      <c r="E60" s="6" t="s">
        <v>157</v>
      </c>
      <c r="F60" s="5" t="s">
        <v>152</v>
      </c>
      <c r="G60" s="13" t="s">
        <v>158</v>
      </c>
      <c r="H60" s="6" t="s">
        <v>159</v>
      </c>
      <c r="I60" s="6" t="s">
        <v>160</v>
      </c>
      <c r="J60" s="6" t="s">
        <v>152</v>
      </c>
      <c r="L60" s="6"/>
      <c r="M60" s="15" t="s">
        <v>226</v>
      </c>
      <c r="N60" s="6">
        <v>60</v>
      </c>
    </row>
    <row r="61" spans="1:14" ht="13.5">
      <c r="A61" s="8">
        <v>61</v>
      </c>
      <c r="B61" s="16"/>
      <c r="C61" s="7"/>
      <c r="D61" s="8"/>
      <c r="E61" s="6">
        <f>0.038*E37</f>
        <v>27188.462109101758</v>
      </c>
      <c r="F61" s="6">
        <f>E61</f>
        <v>27188.462109101758</v>
      </c>
      <c r="G61" s="6">
        <f>-1.4*E27</f>
        <v>-6694.941494104756</v>
      </c>
      <c r="H61" s="6">
        <f>0.5*E29</f>
        <v>2500</v>
      </c>
      <c r="I61" s="6">
        <f>32*E7</f>
        <v>31383.403603206516</v>
      </c>
      <c r="J61" s="6">
        <f>G61+H61+I61</f>
        <v>27188.46210910176</v>
      </c>
      <c r="L61" s="6"/>
      <c r="M61" s="3">
        <f>F61-J61</f>
        <v>0</v>
      </c>
      <c r="N61" s="6">
        <v>61</v>
      </c>
    </row>
    <row r="62" spans="1:14" ht="13.5">
      <c r="A62" s="8">
        <v>62</v>
      </c>
      <c r="B62" s="16"/>
      <c r="C62" s="12" t="s">
        <v>161</v>
      </c>
      <c r="D62" s="8" t="s">
        <v>10</v>
      </c>
      <c r="E62" s="6" t="s">
        <v>44</v>
      </c>
      <c r="F62" s="6" t="s">
        <v>162</v>
      </c>
      <c r="H62" s="6"/>
      <c r="I62" s="6"/>
      <c r="J62" s="6"/>
      <c r="K62" s="6"/>
      <c r="L62" s="6"/>
      <c r="M62" s="15" t="s">
        <v>227</v>
      </c>
      <c r="N62" s="6">
        <v>62</v>
      </c>
    </row>
    <row r="63" spans="1:14" ht="13.5">
      <c r="A63" s="8">
        <v>63</v>
      </c>
      <c r="B63" s="16"/>
      <c r="C63" s="7"/>
      <c r="D63" s="8"/>
      <c r="E63" s="6">
        <f>0.0095*E37</f>
        <v>6797.1155272754395</v>
      </c>
      <c r="F63" s="6">
        <f>E31</f>
        <v>6828.202109652581</v>
      </c>
      <c r="H63" s="6"/>
      <c r="I63" s="6"/>
      <c r="J63" s="6"/>
      <c r="K63" s="6"/>
      <c r="L63" s="6"/>
      <c r="M63" s="3">
        <f>E63-F63</f>
        <v>-31.086582377141895</v>
      </c>
      <c r="N63" s="6">
        <v>63</v>
      </c>
    </row>
    <row r="64" spans="1:14" ht="13.5">
      <c r="A64" s="8">
        <v>64</v>
      </c>
      <c r="B64" s="17" t="s">
        <v>56</v>
      </c>
      <c r="C64" s="12" t="s">
        <v>163</v>
      </c>
      <c r="D64" s="8" t="s">
        <v>11</v>
      </c>
      <c r="E64" s="6" t="s">
        <v>164</v>
      </c>
      <c r="F64" s="2" t="s">
        <v>165</v>
      </c>
      <c r="G64" s="15" t="s">
        <v>166</v>
      </c>
      <c r="H64" s="6" t="s">
        <v>167</v>
      </c>
      <c r="I64" s="6" t="s">
        <v>168</v>
      </c>
      <c r="J64" s="2" t="s">
        <v>165</v>
      </c>
      <c r="L64" s="6"/>
      <c r="M64" s="15" t="s">
        <v>169</v>
      </c>
      <c r="N64" s="6">
        <v>64</v>
      </c>
    </row>
    <row r="65" spans="1:14" ht="13.5">
      <c r="A65" s="8">
        <v>65</v>
      </c>
      <c r="B65" s="18"/>
      <c r="C65" s="7"/>
      <c r="D65" s="8"/>
      <c r="E65" s="6">
        <f>E10</f>
        <v>5826.928184207668</v>
      </c>
      <c r="F65" s="6">
        <f>E65</f>
        <v>5826.928184207668</v>
      </c>
      <c r="G65" s="6">
        <f>0.95*E34</f>
        <v>1096.2582515345234</v>
      </c>
      <c r="H65" s="6">
        <f>E12</f>
        <v>1983.0728835373534</v>
      </c>
      <c r="I65" s="6">
        <f>E17</f>
        <v>2747.597049135791</v>
      </c>
      <c r="J65" s="6">
        <f>G65+H65+I65</f>
        <v>5826.928184207668</v>
      </c>
      <c r="L65" s="6"/>
      <c r="M65" s="3">
        <f>F65-J65</f>
        <v>0</v>
      </c>
      <c r="N65" s="6">
        <v>65</v>
      </c>
    </row>
    <row r="66" spans="1:14" ht="13.5">
      <c r="A66" s="8">
        <v>66</v>
      </c>
      <c r="B66" s="18"/>
      <c r="C66" s="12" t="s">
        <v>170</v>
      </c>
      <c r="D66" s="8" t="s">
        <v>19</v>
      </c>
      <c r="E66" s="6" t="s">
        <v>171</v>
      </c>
      <c r="F66" s="2" t="s">
        <v>172</v>
      </c>
      <c r="G66" s="6" t="s">
        <v>173</v>
      </c>
      <c r="H66" s="6" t="s">
        <v>174</v>
      </c>
      <c r="I66" s="2" t="s">
        <v>172</v>
      </c>
      <c r="K66" s="6"/>
      <c r="L66" s="6"/>
      <c r="M66" s="15" t="s">
        <v>175</v>
      </c>
      <c r="N66" s="6">
        <v>66</v>
      </c>
    </row>
    <row r="67" spans="1:14" ht="13.5">
      <c r="A67" s="8">
        <v>67</v>
      </c>
      <c r="B67" s="18"/>
      <c r="C67" s="8"/>
      <c r="D67" s="8" t="s">
        <v>18</v>
      </c>
      <c r="E67" s="6">
        <f>0.79*E26</f>
        <v>3784.6795522095586</v>
      </c>
      <c r="F67" s="6">
        <f>E67</f>
        <v>3784.6795522095586</v>
      </c>
      <c r="G67" s="6">
        <f>E13</f>
        <v>909.8804995053737</v>
      </c>
      <c r="H67" s="6">
        <f>E18</f>
        <v>2874.7990527041843</v>
      </c>
      <c r="I67" s="6">
        <f>G67+H67</f>
        <v>3784.679552209558</v>
      </c>
      <c r="K67" s="6"/>
      <c r="L67" s="6"/>
      <c r="M67" s="3">
        <f>F67-I67</f>
        <v>0</v>
      </c>
      <c r="N67" s="6">
        <v>67</v>
      </c>
    </row>
    <row r="68" spans="1:14" ht="13.5">
      <c r="A68" s="8">
        <v>68</v>
      </c>
      <c r="B68" s="18"/>
      <c r="C68" s="11" t="s">
        <v>35</v>
      </c>
      <c r="D68" s="8" t="s">
        <v>20</v>
      </c>
      <c r="E68" s="6" t="s">
        <v>176</v>
      </c>
      <c r="F68" s="6" t="s">
        <v>177</v>
      </c>
      <c r="G68" s="5" t="s">
        <v>172</v>
      </c>
      <c r="H68" s="15" t="s">
        <v>178</v>
      </c>
      <c r="I68" s="6" t="s">
        <v>179</v>
      </c>
      <c r="J68" s="6" t="s">
        <v>231</v>
      </c>
      <c r="K68" s="6" t="s">
        <v>180</v>
      </c>
      <c r="L68" s="5" t="s">
        <v>172</v>
      </c>
      <c r="M68" s="15" t="s">
        <v>175</v>
      </c>
      <c r="N68" s="6">
        <v>68</v>
      </c>
    </row>
    <row r="69" spans="1:14" ht="13.5">
      <c r="A69" s="8">
        <v>69</v>
      </c>
      <c r="B69" s="18"/>
      <c r="C69" s="8"/>
      <c r="D69" s="8" t="s">
        <v>18</v>
      </c>
      <c r="E69" s="6">
        <f>0.59*E25</f>
        <v>26673.46716986882</v>
      </c>
      <c r="F69" s="6">
        <f>E28</f>
        <v>10000</v>
      </c>
      <c r="G69" s="6">
        <f>E69-F69</f>
        <v>16673.46716986882</v>
      </c>
      <c r="H69" s="6">
        <f>0.05*E34</f>
        <v>57.697802712343346</v>
      </c>
      <c r="I69" s="6">
        <f>E14</f>
        <v>2216.3755757182184</v>
      </c>
      <c r="J69" s="6">
        <f>E19</f>
        <v>14399.393791438257</v>
      </c>
      <c r="K69" s="6">
        <f>E22</f>
        <v>0</v>
      </c>
      <c r="L69" s="6">
        <f>H69+I69+J69+K69</f>
        <v>16673.467169868818</v>
      </c>
      <c r="M69" s="3">
        <f>G69-L69</f>
        <v>0</v>
      </c>
      <c r="N69" s="6">
        <v>69</v>
      </c>
    </row>
    <row r="70" spans="1:14" ht="13.5">
      <c r="A70" s="8">
        <v>70</v>
      </c>
      <c r="B70" s="18"/>
      <c r="C70" s="11" t="s">
        <v>52</v>
      </c>
      <c r="D70" s="8" t="s">
        <v>21</v>
      </c>
      <c r="E70" s="6" t="s">
        <v>181</v>
      </c>
      <c r="F70" s="5" t="s">
        <v>142</v>
      </c>
      <c r="G70" s="6" t="s">
        <v>42</v>
      </c>
      <c r="H70" s="6" t="s">
        <v>182</v>
      </c>
      <c r="I70" s="6" t="s">
        <v>183</v>
      </c>
      <c r="J70" s="5" t="s">
        <v>142</v>
      </c>
      <c r="L70" s="6"/>
      <c r="M70" s="15" t="s">
        <v>144</v>
      </c>
      <c r="N70" s="6">
        <v>70</v>
      </c>
    </row>
    <row r="71" spans="1:14" ht="13.5">
      <c r="A71" s="8">
        <v>71</v>
      </c>
      <c r="B71" s="18"/>
      <c r="C71" s="8"/>
      <c r="D71" s="8" t="s">
        <v>22</v>
      </c>
      <c r="E71" s="6">
        <f>0.5*E28</f>
        <v>5000</v>
      </c>
      <c r="F71" s="6">
        <f>E71</f>
        <v>5000</v>
      </c>
      <c r="G71" s="6">
        <f>E15</f>
        <v>0</v>
      </c>
      <c r="H71" s="6">
        <f>E20</f>
        <v>4478.210106721767</v>
      </c>
      <c r="I71" s="6">
        <f>E23</f>
        <v>521.7898932782321</v>
      </c>
      <c r="J71" s="6">
        <f>G71+H71+I71</f>
        <v>4999.999999999999</v>
      </c>
      <c r="L71" s="6"/>
      <c r="M71" s="3">
        <f>F71-J71</f>
        <v>0</v>
      </c>
      <c r="N71" s="6">
        <v>71</v>
      </c>
    </row>
    <row r="72" spans="1:14" ht="13.5">
      <c r="A72" s="8">
        <v>72</v>
      </c>
      <c r="B72" s="18"/>
      <c r="C72" s="11" t="s">
        <v>184</v>
      </c>
      <c r="D72" s="8" t="s">
        <v>23</v>
      </c>
      <c r="E72" s="6" t="s">
        <v>185</v>
      </c>
      <c r="F72" s="5" t="s">
        <v>186</v>
      </c>
      <c r="G72" s="6" t="s">
        <v>187</v>
      </c>
      <c r="H72" s="6" t="s">
        <v>188</v>
      </c>
      <c r="I72" s="5" t="s">
        <v>186</v>
      </c>
      <c r="K72" s="6"/>
      <c r="L72" s="6"/>
      <c r="M72" s="15" t="s">
        <v>189</v>
      </c>
      <c r="N72" s="6">
        <v>72</v>
      </c>
    </row>
    <row r="73" spans="1:14" ht="13.5">
      <c r="A73" s="8">
        <v>73</v>
      </c>
      <c r="B73" s="18"/>
      <c r="C73" s="8"/>
      <c r="D73" s="8" t="s">
        <v>232</v>
      </c>
      <c r="E73" s="6">
        <f>0.3*E29</f>
        <v>1500</v>
      </c>
      <c r="F73" s="6">
        <f>E73</f>
        <v>1500</v>
      </c>
      <c r="G73" s="6">
        <f>E16</f>
        <v>0</v>
      </c>
      <c r="H73" s="6">
        <f>E21</f>
        <v>1500</v>
      </c>
      <c r="I73" s="6">
        <f>G73+H73</f>
        <v>1500</v>
      </c>
      <c r="K73" s="6"/>
      <c r="L73" s="6"/>
      <c r="M73" s="3">
        <f>F73-I73</f>
        <v>0</v>
      </c>
      <c r="N73" s="6">
        <v>73</v>
      </c>
    </row>
    <row r="74" spans="1:14" ht="13.5">
      <c r="A74" s="8">
        <v>74</v>
      </c>
      <c r="B74" s="18"/>
      <c r="C74" s="11" t="s">
        <v>190</v>
      </c>
      <c r="D74" s="8" t="s">
        <v>24</v>
      </c>
      <c r="E74" s="6" t="s">
        <v>191</v>
      </c>
      <c r="F74" s="6" t="s">
        <v>50</v>
      </c>
      <c r="G74" s="6" t="s">
        <v>192</v>
      </c>
      <c r="H74" s="6" t="s">
        <v>193</v>
      </c>
      <c r="I74" s="6" t="s">
        <v>194</v>
      </c>
      <c r="J74" s="5" t="s">
        <v>37</v>
      </c>
      <c r="K74" s="6" t="s">
        <v>195</v>
      </c>
      <c r="M74" s="15" t="s">
        <v>34</v>
      </c>
      <c r="N74" s="6">
        <v>74</v>
      </c>
    </row>
    <row r="75" spans="1:14" ht="13.5">
      <c r="A75" s="8">
        <v>75</v>
      </c>
      <c r="B75" s="18"/>
      <c r="C75" s="8"/>
      <c r="D75" s="8"/>
      <c r="E75" s="6">
        <f>E12</f>
        <v>1983.0728835373534</v>
      </c>
      <c r="F75" s="6">
        <f>E13</f>
        <v>909.8804995053737</v>
      </c>
      <c r="G75" s="6">
        <f>E14</f>
        <v>2216.3755757182184</v>
      </c>
      <c r="H75" s="6">
        <f>E15</f>
        <v>0</v>
      </c>
      <c r="I75" s="6">
        <f>E16</f>
        <v>0</v>
      </c>
      <c r="J75" s="6">
        <f>E75+F75+G75+H75+I75</f>
        <v>5109.328958760945</v>
      </c>
      <c r="K75" s="6">
        <f>E35</f>
        <v>5109.328958760946</v>
      </c>
      <c r="M75" s="3">
        <f>J75-K75</f>
        <v>0</v>
      </c>
      <c r="N75" s="6">
        <v>75</v>
      </c>
    </row>
    <row r="76" spans="1:14" ht="13.5">
      <c r="A76" s="8">
        <v>76</v>
      </c>
      <c r="B76" s="18"/>
      <c r="C76" s="11" t="s">
        <v>196</v>
      </c>
      <c r="D76" s="8" t="s">
        <v>25</v>
      </c>
      <c r="E76" s="6" t="s">
        <v>197</v>
      </c>
      <c r="F76" s="6" t="s">
        <v>51</v>
      </c>
      <c r="G76" s="6" t="s">
        <v>198</v>
      </c>
      <c r="H76" s="6" t="s">
        <v>36</v>
      </c>
      <c r="I76" s="6" t="s">
        <v>199</v>
      </c>
      <c r="J76" s="5" t="s">
        <v>37</v>
      </c>
      <c r="K76" s="6" t="s">
        <v>200</v>
      </c>
      <c r="M76" s="15" t="s">
        <v>34</v>
      </c>
      <c r="N76" s="6">
        <v>76</v>
      </c>
    </row>
    <row r="77" spans="1:14" ht="13.5">
      <c r="A77" s="8">
        <v>77</v>
      </c>
      <c r="B77" s="18"/>
      <c r="C77" s="8"/>
      <c r="D77" s="8"/>
      <c r="E77" s="6">
        <f>E17</f>
        <v>2747.597049135791</v>
      </c>
      <c r="F77" s="6">
        <f>E18</f>
        <v>2874.7990527041843</v>
      </c>
      <c r="G77" s="6">
        <f>E19</f>
        <v>14399.393791438257</v>
      </c>
      <c r="H77" s="6">
        <f>E20</f>
        <v>4478.210106721767</v>
      </c>
      <c r="I77" s="6">
        <f>E21</f>
        <v>1500</v>
      </c>
      <c r="J77" s="6">
        <f>E77+F77+G77+H77+I77</f>
        <v>26000</v>
      </c>
      <c r="K77" s="6">
        <f>E36</f>
        <v>26000</v>
      </c>
      <c r="M77" s="3">
        <f>J77-K77</f>
        <v>0</v>
      </c>
      <c r="N77" s="6">
        <v>77</v>
      </c>
    </row>
    <row r="78" spans="1:14" ht="13.5">
      <c r="A78" s="8">
        <v>78</v>
      </c>
      <c r="B78" s="18"/>
      <c r="C78" s="11" t="s">
        <v>201</v>
      </c>
      <c r="D78" s="8" t="s">
        <v>26</v>
      </c>
      <c r="E78" s="6" t="s">
        <v>202</v>
      </c>
      <c r="F78" s="6" t="s">
        <v>183</v>
      </c>
      <c r="G78" s="5" t="s">
        <v>142</v>
      </c>
      <c r="H78" s="6" t="s">
        <v>41</v>
      </c>
      <c r="J78" s="6"/>
      <c r="K78" s="6"/>
      <c r="L78" s="6"/>
      <c r="M78" s="15" t="s">
        <v>203</v>
      </c>
      <c r="N78" s="6">
        <v>78</v>
      </c>
    </row>
    <row r="79" spans="1:14" ht="13.5">
      <c r="A79" s="8">
        <v>79</v>
      </c>
      <c r="B79" s="18"/>
      <c r="C79" s="8"/>
      <c r="D79" s="8"/>
      <c r="E79" s="6">
        <f>E22</f>
        <v>0</v>
      </c>
      <c r="F79" s="6">
        <f>E23</f>
        <v>521.7898932782321</v>
      </c>
      <c r="G79" s="6">
        <f>E79+F79</f>
        <v>521.7898932782321</v>
      </c>
      <c r="H79" s="6">
        <f>E11</f>
        <v>521.7898932782321</v>
      </c>
      <c r="J79" s="6"/>
      <c r="K79" s="6"/>
      <c r="L79" s="6"/>
      <c r="M79" s="3">
        <f>G79-H79</f>
        <v>0</v>
      </c>
      <c r="N79" s="6">
        <v>79</v>
      </c>
    </row>
    <row r="80" spans="1:14" ht="13.5">
      <c r="A80" s="8">
        <v>80</v>
      </c>
      <c r="B80" s="18"/>
      <c r="C80" s="11" t="s">
        <v>204</v>
      </c>
      <c r="D80" s="8" t="s">
        <v>24</v>
      </c>
      <c r="E80" s="6" t="s">
        <v>45</v>
      </c>
      <c r="F80" s="6" t="s">
        <v>46</v>
      </c>
      <c r="G80" s="6" t="s">
        <v>47</v>
      </c>
      <c r="H80" s="6" t="s">
        <v>48</v>
      </c>
      <c r="I80" s="6" t="s">
        <v>205</v>
      </c>
      <c r="J80" s="5" t="s">
        <v>37</v>
      </c>
      <c r="K80" s="6" t="s">
        <v>206</v>
      </c>
      <c r="M80" s="15" t="s">
        <v>227</v>
      </c>
      <c r="N80" s="6">
        <v>80</v>
      </c>
    </row>
    <row r="81" spans="1:14" ht="13.5">
      <c r="A81" s="8">
        <v>81</v>
      </c>
      <c r="B81" s="18"/>
      <c r="C81" s="8"/>
      <c r="D81" s="8" t="s">
        <v>27</v>
      </c>
      <c r="E81" s="6">
        <f>0.7*E12</f>
        <v>1388.1510184761473</v>
      </c>
      <c r="F81" s="6">
        <f>0.3*E13</f>
        <v>272.9641498516121</v>
      </c>
      <c r="G81" s="6">
        <f>3.4*E14</f>
        <v>7535.676957441942</v>
      </c>
      <c r="H81" s="6">
        <f>4.3*E15</f>
        <v>0</v>
      </c>
      <c r="I81" s="6">
        <f>1.2*E16</f>
        <v>0</v>
      </c>
      <c r="J81" s="6">
        <f>E81+F81+G81+H81+I81</f>
        <v>9196.792125769702</v>
      </c>
      <c r="K81" s="6">
        <f>1.8*E35</f>
        <v>9196.792125769703</v>
      </c>
      <c r="M81" s="3">
        <f>J81-K81</f>
        <v>0</v>
      </c>
      <c r="N81" s="6">
        <v>81</v>
      </c>
    </row>
    <row r="82" spans="1:14" ht="13.5">
      <c r="A82" s="8">
        <v>82</v>
      </c>
      <c r="B82" s="18"/>
      <c r="C82" s="11" t="s">
        <v>207</v>
      </c>
      <c r="D82" s="8" t="s">
        <v>24</v>
      </c>
      <c r="E82" s="13" t="s">
        <v>208</v>
      </c>
      <c r="F82" s="6" t="s">
        <v>209</v>
      </c>
      <c r="G82" s="6" t="s">
        <v>210</v>
      </c>
      <c r="H82" s="6" t="s">
        <v>38</v>
      </c>
      <c r="I82" s="13" t="s">
        <v>211</v>
      </c>
      <c r="J82" s="6" t="s">
        <v>37</v>
      </c>
      <c r="K82" s="6" t="s">
        <v>212</v>
      </c>
      <c r="M82" s="15" t="s">
        <v>227</v>
      </c>
      <c r="N82" s="6">
        <v>82</v>
      </c>
    </row>
    <row r="83" spans="1:14" ht="13.5">
      <c r="A83" s="8">
        <v>83</v>
      </c>
      <c r="B83" s="18"/>
      <c r="C83" s="8"/>
      <c r="D83" s="8" t="s">
        <v>28</v>
      </c>
      <c r="E83" s="6">
        <f>-50*E12</f>
        <v>-99153.64417686767</v>
      </c>
      <c r="F83" s="6">
        <f>690*E13</f>
        <v>627817.5446587078</v>
      </c>
      <c r="G83" s="6">
        <f>430*E14</f>
        <v>953041.4975588339</v>
      </c>
      <c r="H83" s="6">
        <f>710*E15</f>
        <v>0</v>
      </c>
      <c r="I83" s="6">
        <f>-25*E16</f>
        <v>0</v>
      </c>
      <c r="J83" s="6">
        <f>E83+F83+G83+H83+I83</f>
        <v>1481705.3980406742</v>
      </c>
      <c r="K83" s="6">
        <f>290*E35</f>
        <v>1481705.3980406744</v>
      </c>
      <c r="M83" s="3">
        <f>J83-K83</f>
        <v>0</v>
      </c>
      <c r="N83" s="6">
        <v>83</v>
      </c>
    </row>
    <row r="84" spans="1:14" ht="13.5">
      <c r="A84" s="8">
        <v>84</v>
      </c>
      <c r="B84" s="18"/>
      <c r="C84" s="11" t="s">
        <v>53</v>
      </c>
      <c r="D84" s="8" t="s">
        <v>25</v>
      </c>
      <c r="E84" s="6" t="s">
        <v>213</v>
      </c>
      <c r="F84" s="6" t="s">
        <v>214</v>
      </c>
      <c r="G84" s="6" t="s">
        <v>228</v>
      </c>
      <c r="H84" s="6" t="s">
        <v>215</v>
      </c>
      <c r="I84" s="6" t="s">
        <v>216</v>
      </c>
      <c r="J84" s="5" t="s">
        <v>37</v>
      </c>
      <c r="K84" s="6" t="s">
        <v>217</v>
      </c>
      <c r="M84" s="15" t="s">
        <v>227</v>
      </c>
      <c r="N84" s="6">
        <v>84</v>
      </c>
    </row>
    <row r="85" spans="1:14" ht="13.5">
      <c r="A85" s="8">
        <v>85</v>
      </c>
      <c r="B85" s="18"/>
      <c r="C85" s="8"/>
      <c r="D85" s="8" t="s">
        <v>27</v>
      </c>
      <c r="E85" s="6">
        <f>0.7*E17</f>
        <v>1923.3179343950537</v>
      </c>
      <c r="F85" s="6">
        <f>0.3*E18</f>
        <v>862.4397158112553</v>
      </c>
      <c r="G85" s="6">
        <f>3.4*E19</f>
        <v>48957.93889089007</v>
      </c>
      <c r="H85" s="6">
        <f>4.3*E20</f>
        <v>19256.3034589036</v>
      </c>
      <c r="I85" s="6">
        <f>1.2*E21</f>
        <v>1800</v>
      </c>
      <c r="J85" s="6">
        <f>E85+F85+G85+H85+I85</f>
        <v>72799.99999999999</v>
      </c>
      <c r="K85" s="6">
        <f>2.8*E36</f>
        <v>72800</v>
      </c>
      <c r="M85" s="3">
        <f>J85-K85</f>
        <v>0</v>
      </c>
      <c r="N85" s="6">
        <v>85</v>
      </c>
    </row>
    <row r="86" spans="1:14" ht="13.5">
      <c r="A86" s="8">
        <v>86</v>
      </c>
      <c r="B86" s="18"/>
      <c r="C86" s="11" t="s">
        <v>218</v>
      </c>
      <c r="D86" s="8" t="s">
        <v>25</v>
      </c>
      <c r="E86" s="13" t="s">
        <v>219</v>
      </c>
      <c r="F86" s="6" t="s">
        <v>220</v>
      </c>
      <c r="G86" s="6" t="s">
        <v>221</v>
      </c>
      <c r="H86" s="6" t="s">
        <v>222</v>
      </c>
      <c r="I86" s="13" t="s">
        <v>223</v>
      </c>
      <c r="J86" s="5" t="s">
        <v>37</v>
      </c>
      <c r="K86" s="6" t="s">
        <v>224</v>
      </c>
      <c r="M86" s="15" t="s">
        <v>227</v>
      </c>
      <c r="N86" s="6">
        <v>86</v>
      </c>
    </row>
    <row r="87" spans="1:14" ht="13.5">
      <c r="A87" s="8">
        <v>87</v>
      </c>
      <c r="B87" s="19"/>
      <c r="C87" s="8"/>
      <c r="D87" s="8" t="s">
        <v>28</v>
      </c>
      <c r="E87" s="6">
        <f>-50*E17</f>
        <v>-137379.85245678955</v>
      </c>
      <c r="F87" s="6">
        <f>690*E18</f>
        <v>1983611.3463658872</v>
      </c>
      <c r="G87" s="6">
        <f>430*E19</f>
        <v>6191739.33031845</v>
      </c>
      <c r="H87" s="6">
        <f>710*E20</f>
        <v>3179529.1757724546</v>
      </c>
      <c r="I87" s="6">
        <f>-25*E21</f>
        <v>-37500</v>
      </c>
      <c r="J87" s="6">
        <f>E87+F87+G87+H87+I87</f>
        <v>11180000.000000002</v>
      </c>
      <c r="K87" s="6">
        <f>430*E36</f>
        <v>11180000</v>
      </c>
      <c r="M87" s="3">
        <f>J87-K87</f>
        <v>0</v>
      </c>
      <c r="N87" s="6">
        <v>87</v>
      </c>
    </row>
    <row r="88" spans="1:14" ht="13.5">
      <c r="A88" s="9" t="s">
        <v>57</v>
      </c>
      <c r="B88" s="9" t="s">
        <v>58</v>
      </c>
      <c r="C88" s="9" t="s">
        <v>59</v>
      </c>
      <c r="D88" s="9" t="s">
        <v>60</v>
      </c>
      <c r="E88" s="10" t="s">
        <v>61</v>
      </c>
      <c r="F88" s="10" t="s">
        <v>62</v>
      </c>
      <c r="G88" s="10" t="s">
        <v>63</v>
      </c>
      <c r="H88" s="10" t="s">
        <v>64</v>
      </c>
      <c r="I88" s="10" t="s">
        <v>65</v>
      </c>
      <c r="J88" s="10" t="s">
        <v>66</v>
      </c>
      <c r="K88" s="10" t="s">
        <v>67</v>
      </c>
      <c r="L88" s="10" t="s">
        <v>68</v>
      </c>
      <c r="M88" s="10" t="s">
        <v>69</v>
      </c>
      <c r="N88" s="10" t="s">
        <v>311</v>
      </c>
    </row>
    <row r="91" spans="4:6" ht="13.5">
      <c r="D91" t="s">
        <v>233</v>
      </c>
      <c r="E91" s="1" t="s">
        <v>234</v>
      </c>
      <c r="F91" s="1">
        <f>E5</f>
        <v>15388.119521305174</v>
      </c>
    </row>
    <row r="92" spans="4:6" ht="13.5">
      <c r="D92" t="s">
        <v>248</v>
      </c>
      <c r="E92" s="1" t="s">
        <v>245</v>
      </c>
      <c r="F92" s="1">
        <f>E24</f>
        <v>50000</v>
      </c>
    </row>
    <row r="93" spans="4:6" ht="13.5">
      <c r="D93" t="s">
        <v>246</v>
      </c>
      <c r="E93" s="1" t="s">
        <v>245</v>
      </c>
      <c r="F93" s="1">
        <f>E25</f>
        <v>45209.26638960817</v>
      </c>
    </row>
    <row r="94" spans="4:6" ht="13.5">
      <c r="D94" t="s">
        <v>247</v>
      </c>
      <c r="E94" s="1" t="s">
        <v>245</v>
      </c>
      <c r="F94" s="1">
        <f>E26</f>
        <v>4790.733610391846</v>
      </c>
    </row>
    <row r="95" spans="4:6" ht="13.5">
      <c r="D95" t="s">
        <v>235</v>
      </c>
      <c r="E95" s="1" t="s">
        <v>245</v>
      </c>
      <c r="F95" s="1">
        <f>H41</f>
        <v>2408.5128773396186</v>
      </c>
    </row>
    <row r="96" spans="4:6" ht="13.5">
      <c r="D96" t="s">
        <v>236</v>
      </c>
      <c r="E96" s="1" t="s">
        <v>245</v>
      </c>
      <c r="F96" s="1">
        <f>G43</f>
        <v>11089.760614025552</v>
      </c>
    </row>
    <row r="97" spans="4:6" ht="13.5">
      <c r="D97" t="s">
        <v>237</v>
      </c>
      <c r="E97" s="1" t="s">
        <v>245</v>
      </c>
      <c r="F97" s="1">
        <f>H57</f>
        <v>6828.202109652581</v>
      </c>
    </row>
    <row r="98" spans="4:6" ht="13.5">
      <c r="D98" t="s">
        <v>238</v>
      </c>
      <c r="E98" s="1" t="s">
        <v>245</v>
      </c>
      <c r="F98" s="1">
        <f>H47</f>
        <v>6587.391503688075</v>
      </c>
    </row>
    <row r="99" spans="4:6" ht="13.5">
      <c r="D99" t="s">
        <v>239</v>
      </c>
      <c r="E99" s="1" t="s">
        <v>245</v>
      </c>
      <c r="F99" s="1">
        <f>H49</f>
        <v>8826.928184207669</v>
      </c>
    </row>
    <row r="100" spans="4:6" ht="13.5">
      <c r="D100" t="s">
        <v>240</v>
      </c>
      <c r="E100" s="1" t="s">
        <v>245</v>
      </c>
      <c r="F100" s="1">
        <f>E34</f>
        <v>1153.9560542468669</v>
      </c>
    </row>
    <row r="101" spans="4:6" ht="13.5">
      <c r="D101" t="s">
        <v>24</v>
      </c>
      <c r="E101" s="1" t="s">
        <v>245</v>
      </c>
      <c r="F101" s="1">
        <f>J75</f>
        <v>5109.328958760945</v>
      </c>
    </row>
    <row r="102" spans="4:6" ht="13.5">
      <c r="D102" t="s">
        <v>25</v>
      </c>
      <c r="E102" s="1" t="s">
        <v>245</v>
      </c>
      <c r="F102" s="1">
        <f>J77</f>
        <v>26000</v>
      </c>
    </row>
    <row r="103" spans="4:6" ht="13.5">
      <c r="D103" t="s">
        <v>241</v>
      </c>
      <c r="E103" s="1" t="s">
        <v>245</v>
      </c>
      <c r="F103" s="1">
        <f>G79</f>
        <v>521.7898932782321</v>
      </c>
    </row>
    <row r="104" spans="4:6" ht="13.5">
      <c r="D104" t="s">
        <v>242</v>
      </c>
      <c r="E104" s="1" t="s">
        <v>245</v>
      </c>
      <c r="F104" s="1">
        <f>E24</f>
        <v>50000</v>
      </c>
    </row>
    <row r="105" spans="4:6" ht="13.5">
      <c r="D105" t="s">
        <v>243</v>
      </c>
      <c r="E105" s="1" t="s">
        <v>245</v>
      </c>
      <c r="F105" s="1">
        <f>E27</f>
        <v>4782.1010672176835</v>
      </c>
    </row>
    <row r="106" spans="4:6" ht="13.5">
      <c r="D106" t="s">
        <v>244</v>
      </c>
      <c r="E106" s="1" t="s">
        <v>245</v>
      </c>
      <c r="F106" s="1">
        <f>E28</f>
        <v>10000</v>
      </c>
    </row>
    <row r="107" spans="4:6" ht="13.5">
      <c r="D107" t="s">
        <v>23</v>
      </c>
      <c r="E107" s="1" t="s">
        <v>245</v>
      </c>
      <c r="F107" s="1">
        <f>E29</f>
        <v>5000</v>
      </c>
    </row>
  </sheetData>
  <sheetProtection/>
  <mergeCells count="6">
    <mergeCell ref="B64:B87"/>
    <mergeCell ref="B7:B23"/>
    <mergeCell ref="B3:B6"/>
    <mergeCell ref="B24:B39"/>
    <mergeCell ref="B56:B63"/>
    <mergeCell ref="B40:B55"/>
  </mergeCells>
  <printOptions/>
  <pageMargins left="0.75" right="0.75" top="1" bottom="1" header="0.512" footer="0.512"/>
  <pageSetup orientation="landscape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showFormulas="1" zoomScale="70" zoomScaleNormal="70" zoomScalePageLayoutView="0" workbookViewId="0" topLeftCell="A1">
      <selection activeCell="L18" sqref="L18"/>
    </sheetView>
  </sheetViews>
  <sheetFormatPr defaultColWidth="9.00390625" defaultRowHeight="13.5"/>
  <cols>
    <col min="1" max="1" width="1.625" style="0" customWidth="1"/>
    <col min="2" max="2" width="1.75390625" style="0" customWidth="1"/>
    <col min="3" max="3" width="2.25390625" style="0" customWidth="1"/>
    <col min="4" max="4" width="6.625" style="0" customWidth="1"/>
    <col min="5" max="5" width="5.50390625" style="1" customWidth="1"/>
    <col min="6" max="7" width="5.125" style="1" customWidth="1"/>
    <col min="8" max="9" width="5.50390625" style="1" customWidth="1"/>
    <col min="10" max="10" width="11.125" style="1" customWidth="1"/>
    <col min="11" max="11" width="5.125" style="1" customWidth="1"/>
    <col min="12" max="12" width="8.625" style="1" customWidth="1"/>
    <col min="13" max="13" width="5.50390625" style="1" customWidth="1"/>
    <col min="14" max="14" width="1.75390625" style="1" customWidth="1"/>
    <col min="15" max="15" width="9.00390625" style="1" customWidth="1"/>
  </cols>
  <sheetData>
    <row r="1" spans="1:14" ht="13.5">
      <c r="A1" s="9" t="s">
        <v>249</v>
      </c>
      <c r="B1" s="9" t="s">
        <v>250</v>
      </c>
      <c r="C1" s="9" t="s">
        <v>251</v>
      </c>
      <c r="D1" s="9" t="s">
        <v>252</v>
      </c>
      <c r="E1" s="10" t="s">
        <v>253</v>
      </c>
      <c r="F1" s="10" t="s">
        <v>254</v>
      </c>
      <c r="G1" s="10" t="s">
        <v>255</v>
      </c>
      <c r="H1" s="10" t="s">
        <v>256</v>
      </c>
      <c r="I1" s="10" t="s">
        <v>257</v>
      </c>
      <c r="J1" s="10" t="s">
        <v>258</v>
      </c>
      <c r="K1" s="10" t="s">
        <v>259</v>
      </c>
      <c r="L1" s="10" t="s">
        <v>260</v>
      </c>
      <c r="M1" s="10" t="s">
        <v>261</v>
      </c>
      <c r="N1" s="6">
        <v>1</v>
      </c>
    </row>
    <row r="2" spans="1:14" ht="13.5">
      <c r="A2" s="8">
        <v>2</v>
      </c>
      <c r="C2" s="8"/>
      <c r="D2" s="8" t="s">
        <v>29</v>
      </c>
      <c r="E2" s="6"/>
      <c r="F2" s="6"/>
      <c r="G2" s="6"/>
      <c r="H2" s="6"/>
      <c r="I2" s="6"/>
      <c r="J2" s="6"/>
      <c r="K2" s="6"/>
      <c r="L2" s="6"/>
      <c r="M2" s="6"/>
      <c r="N2" s="6">
        <v>2</v>
      </c>
    </row>
    <row r="3" spans="1:14" ht="13.5">
      <c r="A3" s="8">
        <v>3</v>
      </c>
      <c r="B3" s="17" t="s">
        <v>30</v>
      </c>
      <c r="C3" s="11" t="s">
        <v>70</v>
      </c>
      <c r="D3" s="8" t="s">
        <v>30</v>
      </c>
      <c r="E3" s="23" t="s">
        <v>71</v>
      </c>
      <c r="F3" s="24"/>
      <c r="G3" s="24"/>
      <c r="H3" s="24"/>
      <c r="I3" s="24"/>
      <c r="J3" s="24"/>
      <c r="K3" s="24"/>
      <c r="L3" s="25"/>
      <c r="M3" s="6"/>
      <c r="N3" s="6">
        <v>3</v>
      </c>
    </row>
    <row r="4" spans="1:14" ht="13.5">
      <c r="A4" s="8">
        <v>4</v>
      </c>
      <c r="B4" s="18"/>
      <c r="C4" s="8"/>
      <c r="D4" s="8"/>
      <c r="E4" s="26" t="s">
        <v>72</v>
      </c>
      <c r="F4" s="27"/>
      <c r="G4" s="27"/>
      <c r="H4" s="27"/>
      <c r="I4" s="27"/>
      <c r="J4" s="27"/>
      <c r="K4" s="27"/>
      <c r="L4" s="28"/>
      <c r="M4" s="6"/>
      <c r="N4" s="6">
        <v>4</v>
      </c>
    </row>
    <row r="5" spans="1:14" ht="13.5">
      <c r="A5" s="8">
        <v>5</v>
      </c>
      <c r="B5" s="18"/>
      <c r="C5" s="8"/>
      <c r="D5" s="8" t="s">
        <v>73</v>
      </c>
      <c r="E5" s="29">
        <f>((1700*H41+1100*E30+330*I57*E31+1430*E32+1430*E33+1330*E34+1130*E35+930*E36+930*H55)-(870*E25+830*E26)-(110*E27+20*E28+70*E29+0.8*E37))/10^6</f>
        <v>15388.119521305174</v>
      </c>
      <c r="F5" s="30"/>
      <c r="G5" s="30"/>
      <c r="H5" s="30"/>
      <c r="I5" s="30"/>
      <c r="J5" s="30"/>
      <c r="K5" s="30"/>
      <c r="L5" s="31"/>
      <c r="M5" s="6"/>
      <c r="N5" s="6">
        <v>5</v>
      </c>
    </row>
    <row r="6" spans="1:14" ht="13.5">
      <c r="A6" s="8">
        <v>6</v>
      </c>
      <c r="B6" s="19"/>
      <c r="C6" s="8"/>
      <c r="D6" s="8"/>
      <c r="E6" s="6"/>
      <c r="F6" s="6"/>
      <c r="G6" s="6"/>
      <c r="H6" s="6"/>
      <c r="I6" s="10"/>
      <c r="J6" s="10"/>
      <c r="K6" s="10"/>
      <c r="L6" s="10"/>
      <c r="M6" s="10"/>
      <c r="N6" s="6">
        <v>6</v>
      </c>
    </row>
    <row r="7" spans="1:14" ht="13.5" customHeight="1">
      <c r="A7" s="8">
        <v>7</v>
      </c>
      <c r="B7" s="16" t="s">
        <v>31</v>
      </c>
      <c r="C7" s="8"/>
      <c r="D7" s="8" t="s">
        <v>262</v>
      </c>
      <c r="E7" s="6">
        <v>980.7313626002036</v>
      </c>
      <c r="F7" s="6" t="s">
        <v>263</v>
      </c>
      <c r="G7" s="6"/>
      <c r="H7" s="6"/>
      <c r="I7" s="6"/>
      <c r="J7" s="6"/>
      <c r="K7" s="6"/>
      <c r="L7" s="6"/>
      <c r="M7" s="6"/>
      <c r="N7" s="6">
        <v>7</v>
      </c>
    </row>
    <row r="8" spans="1:14" ht="13.5">
      <c r="A8" s="8">
        <v>8</v>
      </c>
      <c r="B8" s="16"/>
      <c r="C8" s="8"/>
      <c r="D8" s="8" t="s">
        <v>264</v>
      </c>
      <c r="E8" s="6">
        <v>3326.9281842076657</v>
      </c>
      <c r="F8" s="6" t="s">
        <v>263</v>
      </c>
      <c r="G8" s="6"/>
      <c r="H8" s="6"/>
      <c r="I8" s="6"/>
      <c r="J8" s="6"/>
      <c r="K8" s="6"/>
      <c r="L8" s="6"/>
      <c r="M8" s="6"/>
      <c r="N8" s="6">
        <v>8</v>
      </c>
    </row>
    <row r="9" spans="1:14" ht="13.5">
      <c r="A9" s="8">
        <v>9</v>
      </c>
      <c r="B9" s="16"/>
      <c r="C9" s="8"/>
      <c r="D9" s="8" t="s">
        <v>265</v>
      </c>
      <c r="E9" s="6">
        <v>4087.391503688075</v>
      </c>
      <c r="F9" s="6" t="s">
        <v>229</v>
      </c>
      <c r="G9" s="6"/>
      <c r="H9" s="6"/>
      <c r="I9" s="6"/>
      <c r="J9" s="6"/>
      <c r="K9" s="6"/>
      <c r="L9" s="6"/>
      <c r="M9" s="6"/>
      <c r="N9" s="6">
        <v>9</v>
      </c>
    </row>
    <row r="10" spans="1:14" ht="13.5">
      <c r="A10" s="8">
        <v>10</v>
      </c>
      <c r="B10" s="16"/>
      <c r="C10" s="8"/>
      <c r="D10" s="8" t="s">
        <v>266</v>
      </c>
      <c r="E10" s="6">
        <v>5826.928184207668</v>
      </c>
      <c r="F10" s="6" t="s">
        <v>229</v>
      </c>
      <c r="G10" s="6"/>
      <c r="H10" s="6"/>
      <c r="I10" s="6"/>
      <c r="J10" s="6"/>
      <c r="K10" s="6"/>
      <c r="L10" s="6"/>
      <c r="M10" s="6"/>
      <c r="N10" s="6">
        <v>10</v>
      </c>
    </row>
    <row r="11" spans="1:14" ht="13.5">
      <c r="A11" s="8">
        <v>11</v>
      </c>
      <c r="B11" s="16"/>
      <c r="C11" s="8"/>
      <c r="D11" s="8" t="s">
        <v>267</v>
      </c>
      <c r="E11" s="6">
        <v>521.7898932782321</v>
      </c>
      <c r="F11" s="6" t="s">
        <v>229</v>
      </c>
      <c r="G11" s="6"/>
      <c r="H11" s="6"/>
      <c r="I11" s="6"/>
      <c r="J11" s="6"/>
      <c r="K11" s="6"/>
      <c r="L11" s="6"/>
      <c r="M11" s="6"/>
      <c r="N11" s="6">
        <v>11</v>
      </c>
    </row>
    <row r="12" spans="1:14" ht="13.5">
      <c r="A12" s="8">
        <v>12</v>
      </c>
      <c r="B12" s="16"/>
      <c r="C12" s="8"/>
      <c r="D12" s="8" t="s">
        <v>268</v>
      </c>
      <c r="E12" s="6">
        <v>1983.0728835373534</v>
      </c>
      <c r="F12" s="6" t="s">
        <v>229</v>
      </c>
      <c r="G12" s="6"/>
      <c r="H12" s="6"/>
      <c r="I12" s="6"/>
      <c r="J12" s="6"/>
      <c r="K12" s="6"/>
      <c r="L12" s="6"/>
      <c r="M12" s="6"/>
      <c r="N12" s="6">
        <v>12</v>
      </c>
    </row>
    <row r="13" spans="1:14" ht="13.5">
      <c r="A13" s="8">
        <v>13</v>
      </c>
      <c r="B13" s="16"/>
      <c r="C13" s="8"/>
      <c r="D13" s="8" t="s">
        <v>269</v>
      </c>
      <c r="E13" s="6">
        <v>909.8804995053737</v>
      </c>
      <c r="F13" s="6" t="s">
        <v>229</v>
      </c>
      <c r="G13" s="6"/>
      <c r="H13" s="6"/>
      <c r="I13" s="6"/>
      <c r="J13" s="6"/>
      <c r="K13" s="6"/>
      <c r="L13" s="6"/>
      <c r="M13" s="6"/>
      <c r="N13" s="6">
        <v>13</v>
      </c>
    </row>
    <row r="14" spans="1:14" ht="13.5">
      <c r="A14" s="8">
        <v>14</v>
      </c>
      <c r="B14" s="16"/>
      <c r="C14" s="8"/>
      <c r="D14" s="8" t="s">
        <v>270</v>
      </c>
      <c r="E14" s="6">
        <v>2216.3755757182184</v>
      </c>
      <c r="F14" s="6" t="s">
        <v>229</v>
      </c>
      <c r="G14" s="6"/>
      <c r="H14" s="6"/>
      <c r="I14" s="6"/>
      <c r="J14" s="6"/>
      <c r="K14" s="6"/>
      <c r="L14" s="6"/>
      <c r="M14" s="6"/>
      <c r="N14" s="6">
        <v>14</v>
      </c>
    </row>
    <row r="15" spans="1:14" ht="13.5">
      <c r="A15" s="8">
        <v>15</v>
      </c>
      <c r="B15" s="16"/>
      <c r="C15" s="8"/>
      <c r="D15" s="8" t="s">
        <v>271</v>
      </c>
      <c r="E15" s="6">
        <v>0</v>
      </c>
      <c r="F15" s="6" t="s">
        <v>229</v>
      </c>
      <c r="G15" s="6"/>
      <c r="H15" s="6"/>
      <c r="I15" s="6"/>
      <c r="J15" s="6"/>
      <c r="K15" s="6"/>
      <c r="L15" s="6"/>
      <c r="M15" s="6"/>
      <c r="N15" s="6">
        <v>15</v>
      </c>
    </row>
    <row r="16" spans="1:14" ht="13.5">
      <c r="A16" s="8">
        <v>16</v>
      </c>
      <c r="B16" s="16"/>
      <c r="C16" s="8"/>
      <c r="D16" s="6" t="s">
        <v>272</v>
      </c>
      <c r="E16" s="6">
        <v>0</v>
      </c>
      <c r="F16" s="6" t="s">
        <v>229</v>
      </c>
      <c r="G16" s="6"/>
      <c r="H16" s="6"/>
      <c r="I16" s="6"/>
      <c r="J16" s="6"/>
      <c r="K16" s="6"/>
      <c r="L16" s="6"/>
      <c r="M16" s="6"/>
      <c r="N16" s="6">
        <v>16</v>
      </c>
    </row>
    <row r="17" spans="1:14" ht="13.5">
      <c r="A17" s="8">
        <v>17</v>
      </c>
      <c r="B17" s="16"/>
      <c r="C17" s="8"/>
      <c r="D17" s="6" t="s">
        <v>273</v>
      </c>
      <c r="E17" s="6">
        <v>2747.597049135791</v>
      </c>
      <c r="F17" s="6" t="s">
        <v>229</v>
      </c>
      <c r="G17" s="6"/>
      <c r="H17" s="6"/>
      <c r="I17" s="6"/>
      <c r="J17" s="6"/>
      <c r="K17" s="6"/>
      <c r="L17" s="6"/>
      <c r="M17" s="6"/>
      <c r="N17" s="6">
        <v>17</v>
      </c>
    </row>
    <row r="18" spans="1:14" ht="13.5">
      <c r="A18" s="8">
        <v>18</v>
      </c>
      <c r="B18" s="16"/>
      <c r="C18" s="8"/>
      <c r="D18" s="6" t="s">
        <v>12</v>
      </c>
      <c r="E18" s="6">
        <v>2874.7990527041843</v>
      </c>
      <c r="F18" s="6" t="s">
        <v>229</v>
      </c>
      <c r="G18" s="6"/>
      <c r="H18" s="6"/>
      <c r="I18" s="6"/>
      <c r="J18" s="6"/>
      <c r="K18" s="6"/>
      <c r="L18" s="6"/>
      <c r="M18" s="6"/>
      <c r="N18" s="6">
        <v>18</v>
      </c>
    </row>
    <row r="19" spans="1:14" ht="13.5">
      <c r="A19" s="8">
        <v>19</v>
      </c>
      <c r="B19" s="16"/>
      <c r="C19" s="8"/>
      <c r="D19" s="6" t="s">
        <v>13</v>
      </c>
      <c r="E19" s="6">
        <v>14399.393791438257</v>
      </c>
      <c r="F19" s="6" t="s">
        <v>229</v>
      </c>
      <c r="G19" s="6"/>
      <c r="H19" s="6"/>
      <c r="I19" s="6"/>
      <c r="J19" s="6"/>
      <c r="K19" s="6"/>
      <c r="L19" s="6"/>
      <c r="M19" s="6"/>
      <c r="N19" s="6">
        <v>19</v>
      </c>
    </row>
    <row r="20" spans="1:14" ht="13.5">
      <c r="A20" s="8">
        <v>20</v>
      </c>
      <c r="B20" s="16"/>
      <c r="C20" s="8"/>
      <c r="D20" s="6" t="s">
        <v>14</v>
      </c>
      <c r="E20" s="6">
        <v>4478.210106721767</v>
      </c>
      <c r="F20" s="6" t="s">
        <v>229</v>
      </c>
      <c r="G20" s="6"/>
      <c r="H20" s="6"/>
      <c r="I20" s="6"/>
      <c r="J20" s="6"/>
      <c r="K20" s="6"/>
      <c r="L20" s="6"/>
      <c r="M20" s="6"/>
      <c r="N20" s="6">
        <v>20</v>
      </c>
    </row>
    <row r="21" spans="1:14" ht="13.5">
      <c r="A21" s="8">
        <v>21</v>
      </c>
      <c r="B21" s="16"/>
      <c r="C21" s="8"/>
      <c r="D21" s="6" t="s">
        <v>15</v>
      </c>
      <c r="E21" s="6">
        <v>1500</v>
      </c>
      <c r="F21" s="6" t="s">
        <v>229</v>
      </c>
      <c r="G21" s="6"/>
      <c r="H21" s="6"/>
      <c r="I21" s="6"/>
      <c r="J21" s="6"/>
      <c r="K21" s="6"/>
      <c r="L21" s="6"/>
      <c r="M21" s="6"/>
      <c r="N21" s="6">
        <v>21</v>
      </c>
    </row>
    <row r="22" spans="1:14" ht="13.5">
      <c r="A22" s="8">
        <v>22</v>
      </c>
      <c r="B22" s="16"/>
      <c r="C22" s="8"/>
      <c r="D22" s="6" t="s">
        <v>16</v>
      </c>
      <c r="E22" s="6">
        <v>0</v>
      </c>
      <c r="F22" s="6" t="s">
        <v>229</v>
      </c>
      <c r="G22" s="6"/>
      <c r="H22" s="6"/>
      <c r="I22" s="6"/>
      <c r="J22" s="6"/>
      <c r="K22" s="6"/>
      <c r="L22" s="6"/>
      <c r="M22" s="6"/>
      <c r="N22" s="6">
        <v>22</v>
      </c>
    </row>
    <row r="23" spans="1:14" ht="13.5">
      <c r="A23" s="8">
        <v>23</v>
      </c>
      <c r="B23" s="16"/>
      <c r="C23" s="8"/>
      <c r="D23" s="6" t="s">
        <v>17</v>
      </c>
      <c r="E23" s="6">
        <v>521.7898932782321</v>
      </c>
      <c r="F23" s="6" t="s">
        <v>229</v>
      </c>
      <c r="G23" s="6"/>
      <c r="H23" s="6"/>
      <c r="I23" s="6"/>
      <c r="J23" s="6"/>
      <c r="K23" s="6"/>
      <c r="L23" s="6"/>
      <c r="M23" s="6"/>
      <c r="N23" s="6">
        <v>23</v>
      </c>
    </row>
    <row r="24" spans="1:14" ht="13.5" customHeight="1">
      <c r="A24" s="8">
        <v>24</v>
      </c>
      <c r="B24" s="20" t="s">
        <v>54</v>
      </c>
      <c r="C24" s="12"/>
      <c r="D24" s="6" t="s">
        <v>85</v>
      </c>
      <c r="E24" s="6">
        <v>50000</v>
      </c>
      <c r="F24" s="13" t="s">
        <v>274</v>
      </c>
      <c r="G24" s="6">
        <v>50000</v>
      </c>
      <c r="H24" s="6"/>
      <c r="I24" s="6"/>
      <c r="J24" s="6"/>
      <c r="K24" s="6"/>
      <c r="L24" s="6"/>
      <c r="M24" s="6"/>
      <c r="N24" s="6">
        <v>24</v>
      </c>
    </row>
    <row r="25" spans="1:14" ht="13.5">
      <c r="A25" s="8">
        <v>25</v>
      </c>
      <c r="B25" s="21"/>
      <c r="C25" s="12"/>
      <c r="D25" s="8" t="s">
        <v>86</v>
      </c>
      <c r="E25" s="6">
        <v>45209.26638960817</v>
      </c>
      <c r="F25" s="13" t="s">
        <v>274</v>
      </c>
      <c r="G25" s="6">
        <v>50000</v>
      </c>
      <c r="H25" s="6"/>
      <c r="I25" s="6"/>
      <c r="J25" s="6"/>
      <c r="K25" s="6"/>
      <c r="L25" s="6"/>
      <c r="M25" s="6"/>
      <c r="N25" s="6">
        <v>25</v>
      </c>
    </row>
    <row r="26" spans="1:14" ht="13.5">
      <c r="A26" s="8">
        <v>26</v>
      </c>
      <c r="B26" s="21"/>
      <c r="C26" s="12"/>
      <c r="D26" s="6" t="s">
        <v>87</v>
      </c>
      <c r="E26" s="6">
        <v>4790.733610391846</v>
      </c>
      <c r="F26" s="13" t="s">
        <v>274</v>
      </c>
      <c r="G26" s="6">
        <v>5000</v>
      </c>
      <c r="H26" s="14"/>
      <c r="I26" s="6"/>
      <c r="J26" s="6"/>
      <c r="K26" s="6"/>
      <c r="L26" s="6"/>
      <c r="M26" s="6"/>
      <c r="N26" s="6">
        <v>26</v>
      </c>
    </row>
    <row r="27" spans="1:14" ht="13.5">
      <c r="A27" s="8">
        <v>27</v>
      </c>
      <c r="B27" s="21"/>
      <c r="C27" s="12"/>
      <c r="D27" s="6" t="s">
        <v>88</v>
      </c>
      <c r="E27" s="6">
        <v>4782.1010672176835</v>
      </c>
      <c r="F27" s="13" t="s">
        <v>274</v>
      </c>
      <c r="G27" s="6">
        <v>6000</v>
      </c>
      <c r="H27" s="6"/>
      <c r="I27" s="6"/>
      <c r="J27" s="6"/>
      <c r="K27" s="6"/>
      <c r="L27" s="6"/>
      <c r="M27" s="6"/>
      <c r="N27" s="6">
        <v>27</v>
      </c>
    </row>
    <row r="28" spans="1:14" ht="13.5">
      <c r="A28" s="8">
        <v>28</v>
      </c>
      <c r="B28" s="21"/>
      <c r="C28" s="12"/>
      <c r="D28" s="6" t="s">
        <v>89</v>
      </c>
      <c r="E28" s="6">
        <v>10000</v>
      </c>
      <c r="F28" s="13" t="s">
        <v>274</v>
      </c>
      <c r="G28" s="6">
        <v>10000</v>
      </c>
      <c r="H28" s="6"/>
      <c r="I28" s="6"/>
      <c r="J28" s="6"/>
      <c r="K28" s="6"/>
      <c r="L28" s="6"/>
      <c r="M28" s="6"/>
      <c r="N28" s="6">
        <v>28</v>
      </c>
    </row>
    <row r="29" spans="1:14" ht="13.5">
      <c r="A29" s="8">
        <v>29</v>
      </c>
      <c r="B29" s="21"/>
      <c r="C29" s="8"/>
      <c r="D29" s="6" t="s">
        <v>90</v>
      </c>
      <c r="E29" s="6">
        <v>5000</v>
      </c>
      <c r="F29" s="13" t="s">
        <v>274</v>
      </c>
      <c r="G29" s="6">
        <v>6000</v>
      </c>
      <c r="H29" s="6"/>
      <c r="I29" s="6"/>
      <c r="J29" s="6"/>
      <c r="K29" s="6"/>
      <c r="L29" s="6"/>
      <c r="M29" s="6"/>
      <c r="N29" s="6">
        <v>29</v>
      </c>
    </row>
    <row r="30" spans="1:14" ht="13.5">
      <c r="A30" s="8">
        <v>30</v>
      </c>
      <c r="B30" s="21"/>
      <c r="C30" s="8"/>
      <c r="D30" s="6" t="s">
        <v>91</v>
      </c>
      <c r="E30" s="6">
        <v>2000</v>
      </c>
      <c r="F30" s="13" t="s">
        <v>92</v>
      </c>
      <c r="G30" s="6">
        <v>2000</v>
      </c>
      <c r="H30" s="6"/>
      <c r="I30" s="6"/>
      <c r="J30" s="6"/>
      <c r="K30" s="6"/>
      <c r="L30" s="6"/>
      <c r="M30" s="6"/>
      <c r="N30" s="6">
        <v>30</v>
      </c>
    </row>
    <row r="31" spans="1:14" ht="13.5">
      <c r="A31" s="8">
        <v>31</v>
      </c>
      <c r="B31" s="21"/>
      <c r="C31" s="8"/>
      <c r="D31" s="14" t="s">
        <v>93</v>
      </c>
      <c r="E31" s="6">
        <v>6828.202109652581</v>
      </c>
      <c r="F31" s="13" t="s">
        <v>274</v>
      </c>
      <c r="G31" s="6">
        <v>7500</v>
      </c>
      <c r="H31" s="13" t="s">
        <v>94</v>
      </c>
      <c r="I31" s="6">
        <v>6800</v>
      </c>
      <c r="J31" s="6"/>
      <c r="K31" s="6"/>
      <c r="L31" s="6"/>
      <c r="M31" s="6"/>
      <c r="N31" s="6">
        <v>31</v>
      </c>
    </row>
    <row r="32" spans="1:14" ht="13.5">
      <c r="A32" s="8">
        <v>32</v>
      </c>
      <c r="B32" s="21"/>
      <c r="C32" s="8"/>
      <c r="D32" s="6" t="s">
        <v>95</v>
      </c>
      <c r="E32" s="6">
        <v>2500</v>
      </c>
      <c r="F32" s="13" t="s">
        <v>92</v>
      </c>
      <c r="G32" s="6">
        <v>2500</v>
      </c>
      <c r="H32" s="6"/>
      <c r="I32" s="6"/>
      <c r="J32" s="6"/>
      <c r="K32" s="6"/>
      <c r="L32" s="6"/>
      <c r="M32" s="6"/>
      <c r="N32" s="6">
        <v>32</v>
      </c>
    </row>
    <row r="33" spans="1:14" ht="13.5">
      <c r="A33" s="8">
        <v>33</v>
      </c>
      <c r="B33" s="21"/>
      <c r="C33" s="8"/>
      <c r="D33" s="6" t="s">
        <v>96</v>
      </c>
      <c r="E33" s="6">
        <v>3000</v>
      </c>
      <c r="F33" s="13" t="s">
        <v>92</v>
      </c>
      <c r="G33" s="6">
        <v>3000</v>
      </c>
      <c r="H33" s="6"/>
      <c r="I33" s="6"/>
      <c r="J33" s="6"/>
      <c r="K33" s="6"/>
      <c r="L33" s="6"/>
      <c r="M33" s="6"/>
      <c r="N33" s="6">
        <v>33</v>
      </c>
    </row>
    <row r="34" spans="1:14" ht="13.5">
      <c r="A34" s="8">
        <v>34</v>
      </c>
      <c r="B34" s="21"/>
      <c r="C34" s="8"/>
      <c r="D34" s="6" t="s">
        <v>97</v>
      </c>
      <c r="E34" s="15">
        <v>1153.9560542468669</v>
      </c>
      <c r="F34" s="13" t="s">
        <v>274</v>
      </c>
      <c r="G34" s="6">
        <v>3700</v>
      </c>
      <c r="H34" s="6"/>
      <c r="I34" s="6"/>
      <c r="J34" s="6"/>
      <c r="K34" s="6"/>
      <c r="L34" s="6"/>
      <c r="M34" s="6"/>
      <c r="N34" s="6">
        <v>34</v>
      </c>
    </row>
    <row r="35" spans="1:14" ht="13.5">
      <c r="A35" s="8">
        <v>35</v>
      </c>
      <c r="B35" s="21"/>
      <c r="C35" s="8"/>
      <c r="D35" s="14" t="s">
        <v>98</v>
      </c>
      <c r="E35" s="6">
        <v>5109.328958760946</v>
      </c>
      <c r="F35" s="13" t="s">
        <v>274</v>
      </c>
      <c r="G35" s="6">
        <v>5200</v>
      </c>
      <c r="H35" s="13" t="s">
        <v>94</v>
      </c>
      <c r="I35" s="6">
        <v>4200</v>
      </c>
      <c r="J35" s="6"/>
      <c r="K35" s="6"/>
      <c r="L35" s="6"/>
      <c r="M35" s="6"/>
      <c r="N35" s="6">
        <v>35</v>
      </c>
    </row>
    <row r="36" spans="1:14" ht="13.5">
      <c r="A36" s="8">
        <v>36</v>
      </c>
      <c r="B36" s="21"/>
      <c r="C36" s="8"/>
      <c r="D36" s="6" t="s">
        <v>99</v>
      </c>
      <c r="E36" s="6">
        <v>26000</v>
      </c>
      <c r="F36" s="13" t="s">
        <v>274</v>
      </c>
      <c r="G36" s="6">
        <v>26000</v>
      </c>
      <c r="H36" s="6"/>
      <c r="I36" s="6"/>
      <c r="J36" s="6"/>
      <c r="K36" s="6"/>
      <c r="L36" s="6"/>
      <c r="M36" s="6"/>
      <c r="N36" s="6">
        <v>36</v>
      </c>
    </row>
    <row r="37" spans="1:14" ht="13.5">
      <c r="A37" s="8">
        <v>37</v>
      </c>
      <c r="B37" s="21"/>
      <c r="C37" s="8"/>
      <c r="D37" s="6" t="s">
        <v>100</v>
      </c>
      <c r="E37" s="6">
        <v>715485.8449763621</v>
      </c>
      <c r="F37" s="13"/>
      <c r="G37" s="6"/>
      <c r="H37" s="6"/>
      <c r="I37" s="6"/>
      <c r="J37" s="6"/>
      <c r="K37" s="6"/>
      <c r="L37" s="6"/>
      <c r="M37" s="6"/>
      <c r="N37" s="6">
        <v>37</v>
      </c>
    </row>
    <row r="38" spans="1:14" ht="27">
      <c r="A38" s="8">
        <v>38</v>
      </c>
      <c r="B38" s="21"/>
      <c r="C38" s="12" t="s">
        <v>101</v>
      </c>
      <c r="D38" s="6" t="s">
        <v>32</v>
      </c>
      <c r="E38" s="6" t="s">
        <v>102</v>
      </c>
      <c r="F38" s="6" t="s">
        <v>103</v>
      </c>
      <c r="G38" s="2" t="s">
        <v>104</v>
      </c>
      <c r="H38" s="6" t="s">
        <v>105</v>
      </c>
      <c r="J38" s="6"/>
      <c r="K38" s="6"/>
      <c r="L38" s="6"/>
      <c r="M38" s="15" t="s">
        <v>275</v>
      </c>
      <c r="N38" s="6">
        <v>38</v>
      </c>
    </row>
    <row r="39" spans="1:14" ht="13.5">
      <c r="A39" s="8">
        <v>39</v>
      </c>
      <c r="B39" s="22"/>
      <c r="C39" s="7"/>
      <c r="D39" s="8"/>
      <c r="E39" s="6">
        <f>E25</f>
        <v>45209.26638960817</v>
      </c>
      <c r="F39" s="6">
        <f>E26</f>
        <v>4790.733610391846</v>
      </c>
      <c r="G39" s="6">
        <f>E39+F39</f>
        <v>50000.000000000015</v>
      </c>
      <c r="H39" s="6">
        <f>G24</f>
        <v>50000</v>
      </c>
      <c r="J39" s="6"/>
      <c r="K39" s="6"/>
      <c r="L39" s="6"/>
      <c r="M39" s="3">
        <f>H39-G39</f>
        <v>0</v>
      </c>
      <c r="N39" s="6">
        <v>39</v>
      </c>
    </row>
    <row r="40" spans="1:14" ht="27">
      <c r="A40" s="8">
        <v>40</v>
      </c>
      <c r="B40" s="16" t="s">
        <v>55</v>
      </c>
      <c r="C40" s="12" t="s">
        <v>106</v>
      </c>
      <c r="D40" s="8" t="s">
        <v>0</v>
      </c>
      <c r="E40" s="6" t="s">
        <v>107</v>
      </c>
      <c r="F40" s="6" t="s">
        <v>108</v>
      </c>
      <c r="G40" s="6" t="s">
        <v>109</v>
      </c>
      <c r="H40" s="3" t="s">
        <v>110</v>
      </c>
      <c r="I40" s="6"/>
      <c r="J40" s="6"/>
      <c r="K40" s="6"/>
      <c r="L40" s="6"/>
      <c r="M40" s="6"/>
      <c r="N40" s="6">
        <v>40</v>
      </c>
    </row>
    <row r="41" spans="1:14" ht="13.5">
      <c r="A41" s="8">
        <v>41</v>
      </c>
      <c r="B41" s="16"/>
      <c r="C41" s="7"/>
      <c r="D41" s="8"/>
      <c r="E41" s="6">
        <f>0.01*E39</f>
        <v>452.0926638960817</v>
      </c>
      <c r="F41" s="6">
        <f>0.2*E27</f>
        <v>956.4202134435368</v>
      </c>
      <c r="G41" s="6">
        <f>0.2*E29</f>
        <v>1000</v>
      </c>
      <c r="H41" s="3">
        <f>E41+F41+G41</f>
        <v>2408.5128773396186</v>
      </c>
      <c r="I41" s="6"/>
      <c r="J41" s="6"/>
      <c r="K41" s="6"/>
      <c r="L41" s="6"/>
      <c r="M41" s="6"/>
      <c r="N41" s="6">
        <v>41</v>
      </c>
    </row>
    <row r="42" spans="1:14" ht="27">
      <c r="A42" s="8">
        <v>42</v>
      </c>
      <c r="B42" s="16"/>
      <c r="C42" s="12" t="s">
        <v>111</v>
      </c>
      <c r="D42" s="8" t="s">
        <v>1</v>
      </c>
      <c r="E42" s="6" t="s">
        <v>112</v>
      </c>
      <c r="F42" s="6" t="s">
        <v>113</v>
      </c>
      <c r="G42" s="2" t="s">
        <v>39</v>
      </c>
      <c r="H42" s="6" t="s">
        <v>114</v>
      </c>
      <c r="I42" s="6" t="s">
        <v>115</v>
      </c>
      <c r="J42" s="6" t="s">
        <v>116</v>
      </c>
      <c r="K42" s="6" t="s">
        <v>117</v>
      </c>
      <c r="L42" s="2" t="s">
        <v>39</v>
      </c>
      <c r="M42" s="15" t="s">
        <v>118</v>
      </c>
      <c r="N42" s="6">
        <v>42</v>
      </c>
    </row>
    <row r="43" spans="1:14" ht="13.5">
      <c r="A43" s="8">
        <v>43</v>
      </c>
      <c r="B43" s="16"/>
      <c r="C43" s="7"/>
      <c r="D43" s="8" t="s">
        <v>119</v>
      </c>
      <c r="E43" s="6">
        <f>0.24*E25</f>
        <v>10850.22393350596</v>
      </c>
      <c r="F43" s="6">
        <f>0.05*E26</f>
        <v>239.53668051959232</v>
      </c>
      <c r="G43" s="6">
        <f>E43+F43</f>
        <v>11089.760614025552</v>
      </c>
      <c r="H43" s="6">
        <f>E27</f>
        <v>4782.1010672176835</v>
      </c>
      <c r="I43" s="6">
        <f>E30</f>
        <v>2000</v>
      </c>
      <c r="J43" s="6">
        <f>E7</f>
        <v>980.7313626002036</v>
      </c>
      <c r="K43" s="6">
        <f>E8</f>
        <v>3326.9281842076657</v>
      </c>
      <c r="L43" s="6">
        <f>H43+I43+J43+K43</f>
        <v>11089.760614025552</v>
      </c>
      <c r="M43" s="3">
        <f>G43-L43</f>
        <v>0</v>
      </c>
      <c r="N43" s="6">
        <v>43</v>
      </c>
    </row>
    <row r="44" spans="1:14" ht="27">
      <c r="A44" s="8">
        <v>44</v>
      </c>
      <c r="B44" s="16"/>
      <c r="C44" s="12" t="s">
        <v>120</v>
      </c>
      <c r="D44" s="8" t="s">
        <v>40</v>
      </c>
      <c r="E44" s="6" t="s">
        <v>112</v>
      </c>
      <c r="F44" s="6" t="s">
        <v>113</v>
      </c>
      <c r="G44" s="4" t="s">
        <v>121</v>
      </c>
      <c r="H44" s="6" t="s">
        <v>117</v>
      </c>
      <c r="J44" s="6"/>
      <c r="K44" s="6"/>
      <c r="L44" s="6"/>
      <c r="M44" s="15" t="s">
        <v>276</v>
      </c>
      <c r="N44" s="6">
        <v>44</v>
      </c>
    </row>
    <row r="45" spans="1:14" ht="13.5">
      <c r="A45" s="8">
        <v>45</v>
      </c>
      <c r="B45" s="16"/>
      <c r="C45" s="7"/>
      <c r="D45" s="8"/>
      <c r="E45" s="6">
        <f>0.24*E25</f>
        <v>10850.22393350596</v>
      </c>
      <c r="F45" s="6">
        <f>0.05*E26</f>
        <v>239.53668051959232</v>
      </c>
      <c r="G45" s="6">
        <f>(E45+F45)*0.3</f>
        <v>3326.9281842076657</v>
      </c>
      <c r="H45" s="6">
        <f>E8</f>
        <v>3326.9281842076657</v>
      </c>
      <c r="J45" s="6"/>
      <c r="K45" s="6"/>
      <c r="L45" s="6"/>
      <c r="M45" s="3">
        <f>G45-H45</f>
        <v>0</v>
      </c>
      <c r="N45" s="6">
        <v>45</v>
      </c>
    </row>
    <row r="46" spans="1:14" ht="27">
      <c r="A46" s="8">
        <v>46</v>
      </c>
      <c r="B46" s="16"/>
      <c r="C46" s="12" t="s">
        <v>43</v>
      </c>
      <c r="D46" s="8" t="s">
        <v>2</v>
      </c>
      <c r="E46" s="6" t="s">
        <v>122</v>
      </c>
      <c r="F46" s="6" t="s">
        <v>123</v>
      </c>
      <c r="G46" s="6" t="s">
        <v>117</v>
      </c>
      <c r="H46" s="2" t="s">
        <v>39</v>
      </c>
      <c r="I46" s="6" t="s">
        <v>124</v>
      </c>
      <c r="J46" s="6" t="s">
        <v>125</v>
      </c>
      <c r="K46" s="2" t="s">
        <v>39</v>
      </c>
      <c r="M46" s="15" t="s">
        <v>118</v>
      </c>
      <c r="N46" s="6">
        <v>46</v>
      </c>
    </row>
    <row r="47" spans="1:14" ht="13.5">
      <c r="A47" s="8">
        <v>47</v>
      </c>
      <c r="B47" s="16"/>
      <c r="C47" s="7"/>
      <c r="D47" s="8"/>
      <c r="E47" s="6">
        <f>0.07*E25</f>
        <v>3164.6486472725724</v>
      </c>
      <c r="F47" s="15">
        <f>0.02*E26</f>
        <v>95.81467220783692</v>
      </c>
      <c r="G47" s="6">
        <f>E8</f>
        <v>3326.9281842076657</v>
      </c>
      <c r="H47" s="15">
        <f>E47+F47+G47</f>
        <v>6587.391503688075</v>
      </c>
      <c r="I47" s="6">
        <f>E32</f>
        <v>2500</v>
      </c>
      <c r="J47" s="6">
        <f>E9</f>
        <v>4087.391503688075</v>
      </c>
      <c r="K47" s="6">
        <f>I47+J47</f>
        <v>6587.391503688075</v>
      </c>
      <c r="M47" s="3">
        <f>H47-K47</f>
        <v>0</v>
      </c>
      <c r="N47" s="6">
        <v>47</v>
      </c>
    </row>
    <row r="48" spans="1:14" ht="27">
      <c r="A48" s="8">
        <v>48</v>
      </c>
      <c r="B48" s="16"/>
      <c r="C48" s="12" t="s">
        <v>126</v>
      </c>
      <c r="D48" s="8" t="s">
        <v>3</v>
      </c>
      <c r="E48" s="13" t="s">
        <v>127</v>
      </c>
      <c r="F48" s="6" t="s">
        <v>128</v>
      </c>
      <c r="G48" s="6" t="s">
        <v>125</v>
      </c>
      <c r="H48" s="2" t="s">
        <v>39</v>
      </c>
      <c r="I48" s="6" t="s">
        <v>129</v>
      </c>
      <c r="J48" s="6" t="s">
        <v>49</v>
      </c>
      <c r="K48" s="2" t="s">
        <v>39</v>
      </c>
      <c r="M48" s="15" t="s">
        <v>118</v>
      </c>
      <c r="N48" s="6">
        <v>48</v>
      </c>
    </row>
    <row r="49" spans="1:14" ht="13.5">
      <c r="A49" s="8">
        <v>49</v>
      </c>
      <c r="B49" s="16"/>
      <c r="C49" s="7"/>
      <c r="D49" s="8"/>
      <c r="E49" s="6">
        <f>0.09*E25</f>
        <v>4068.8339750647356</v>
      </c>
      <c r="F49" s="6">
        <f>0.14*E26</f>
        <v>670.7027054548585</v>
      </c>
      <c r="G49" s="6">
        <f>E9</f>
        <v>4087.391503688075</v>
      </c>
      <c r="H49" s="6">
        <f>E49+F49+G49</f>
        <v>8826.928184207669</v>
      </c>
      <c r="I49" s="6">
        <f>E33</f>
        <v>3000</v>
      </c>
      <c r="J49" s="6">
        <f>E10</f>
        <v>5826.928184207668</v>
      </c>
      <c r="K49" s="6">
        <f>I49+J49</f>
        <v>8826.928184207667</v>
      </c>
      <c r="M49" s="3">
        <f>H49-K49</f>
        <v>0</v>
      </c>
      <c r="N49" s="6">
        <v>49</v>
      </c>
    </row>
    <row r="50" spans="1:14" ht="27">
      <c r="A50" s="8">
        <v>50</v>
      </c>
      <c r="B50" s="16"/>
      <c r="C50" s="12" t="s">
        <v>130</v>
      </c>
      <c r="D50" s="8" t="s">
        <v>131</v>
      </c>
      <c r="E50" s="6" t="s">
        <v>132</v>
      </c>
      <c r="F50" s="6" t="s">
        <v>133</v>
      </c>
      <c r="H50" s="6"/>
      <c r="I50" s="6"/>
      <c r="J50" s="6"/>
      <c r="K50" s="6"/>
      <c r="L50" s="6"/>
      <c r="M50" s="15" t="s">
        <v>118</v>
      </c>
      <c r="N50" s="6">
        <v>50</v>
      </c>
    </row>
    <row r="51" spans="1:14" ht="13.5">
      <c r="A51" s="8">
        <v>51</v>
      </c>
      <c r="B51" s="16"/>
      <c r="C51" s="7"/>
      <c r="D51" s="8"/>
      <c r="E51" s="6">
        <f>E29</f>
        <v>5000</v>
      </c>
      <c r="F51" s="6">
        <f>0.5*E28</f>
        <v>5000</v>
      </c>
      <c r="H51" s="6"/>
      <c r="I51" s="6"/>
      <c r="J51" s="6"/>
      <c r="K51" s="6"/>
      <c r="L51" s="6"/>
      <c r="M51" s="3">
        <f>E51-F51</f>
        <v>0</v>
      </c>
      <c r="N51" s="6">
        <v>51</v>
      </c>
    </row>
    <row r="52" spans="1:14" ht="27">
      <c r="A52" s="8">
        <v>52</v>
      </c>
      <c r="B52" s="16"/>
      <c r="C52" s="12" t="s">
        <v>134</v>
      </c>
      <c r="D52" s="8" t="s">
        <v>4</v>
      </c>
      <c r="E52" s="6" t="s">
        <v>135</v>
      </c>
      <c r="F52" s="6" t="s">
        <v>136</v>
      </c>
      <c r="G52" s="6" t="s">
        <v>137</v>
      </c>
      <c r="H52" s="3" t="s">
        <v>138</v>
      </c>
      <c r="I52" s="6"/>
      <c r="J52" s="6"/>
      <c r="K52" s="6"/>
      <c r="L52" s="6"/>
      <c r="M52" s="6"/>
      <c r="N52" s="6">
        <v>52</v>
      </c>
    </row>
    <row r="53" spans="1:14" ht="13.5">
      <c r="A53" s="8">
        <v>53</v>
      </c>
      <c r="B53" s="16"/>
      <c r="C53" s="7"/>
      <c r="D53" s="8"/>
      <c r="E53" s="6">
        <f>0.1*E27</f>
        <v>478.2101067217684</v>
      </c>
      <c r="F53" s="15">
        <f>0.1*E29</f>
        <v>500</v>
      </c>
      <c r="G53" s="6">
        <f>E11</f>
        <v>521.7898932782321</v>
      </c>
      <c r="H53" s="3">
        <f>E53+F53+G53</f>
        <v>1500.0000000000005</v>
      </c>
      <c r="I53" s="6"/>
      <c r="J53" s="6"/>
      <c r="K53" s="6"/>
      <c r="L53" s="6"/>
      <c r="M53" s="6"/>
      <c r="N53" s="6">
        <v>53</v>
      </c>
    </row>
    <row r="54" spans="1:14" ht="27">
      <c r="A54" s="8">
        <v>54</v>
      </c>
      <c r="B54" s="16"/>
      <c r="C54" s="12" t="s">
        <v>139</v>
      </c>
      <c r="D54" s="8" t="s">
        <v>5</v>
      </c>
      <c r="E54" s="6" t="s">
        <v>140</v>
      </c>
      <c r="F54" s="6" t="s">
        <v>141</v>
      </c>
      <c r="G54" s="2" t="s">
        <v>142</v>
      </c>
      <c r="H54" s="6" t="s">
        <v>143</v>
      </c>
      <c r="J54" s="6"/>
      <c r="K54" s="6"/>
      <c r="L54" s="6"/>
      <c r="M54" s="15" t="s">
        <v>144</v>
      </c>
      <c r="N54" s="6">
        <v>54</v>
      </c>
    </row>
    <row r="55" spans="1:14" ht="13.5">
      <c r="A55" s="8">
        <v>55</v>
      </c>
      <c r="B55" s="16"/>
      <c r="C55" s="7"/>
      <c r="D55" s="8"/>
      <c r="E55" s="6">
        <f>0.03*E25</f>
        <v>1356.277991688245</v>
      </c>
      <c r="F55" s="15">
        <f>0.03*E26</f>
        <v>143.7220083117554</v>
      </c>
      <c r="G55" s="6">
        <f>E55+F55</f>
        <v>1500.0000000000005</v>
      </c>
      <c r="H55" s="6">
        <f>H53</f>
        <v>1500.0000000000005</v>
      </c>
      <c r="J55" s="6"/>
      <c r="K55" s="6"/>
      <c r="L55" s="6"/>
      <c r="M55" s="3">
        <f>G55-H53</f>
        <v>0</v>
      </c>
      <c r="N55" s="6">
        <v>55</v>
      </c>
    </row>
    <row r="56" spans="1:14" ht="13.5" customHeight="1">
      <c r="A56" s="8">
        <v>56</v>
      </c>
      <c r="B56" s="16" t="s">
        <v>6</v>
      </c>
      <c r="C56" s="12" t="s">
        <v>145</v>
      </c>
      <c r="D56" s="8" t="s">
        <v>7</v>
      </c>
      <c r="E56" s="6" t="s">
        <v>146</v>
      </c>
      <c r="F56" s="6" t="s">
        <v>147</v>
      </c>
      <c r="G56" s="6" t="s">
        <v>148</v>
      </c>
      <c r="H56" s="2" t="s">
        <v>37</v>
      </c>
      <c r="I56" s="6" t="s">
        <v>149</v>
      </c>
      <c r="K56" s="6"/>
      <c r="L56" s="6"/>
      <c r="M56" s="15" t="s">
        <v>34</v>
      </c>
      <c r="N56" s="6">
        <v>56</v>
      </c>
    </row>
    <row r="57" spans="1:14" ht="13.5">
      <c r="A57" s="8">
        <v>57</v>
      </c>
      <c r="B57" s="16"/>
      <c r="C57" s="7"/>
      <c r="D57" s="8" t="s">
        <v>8</v>
      </c>
      <c r="E57" s="6">
        <f>0.7*E27</f>
        <v>3347.470747052378</v>
      </c>
      <c r="F57" s="15">
        <f>0.5*E29</f>
        <v>2500</v>
      </c>
      <c r="G57" s="15">
        <f>E7</f>
        <v>980.7313626002036</v>
      </c>
      <c r="H57" s="6">
        <f>E57+F57+G57</f>
        <v>6828.202109652581</v>
      </c>
      <c r="I57" s="6">
        <f>E31</f>
        <v>6828.202109652581</v>
      </c>
      <c r="K57" s="6"/>
      <c r="L57" s="6"/>
      <c r="M57" s="3">
        <f>H57-I57</f>
        <v>0</v>
      </c>
      <c r="N57" s="6">
        <v>57</v>
      </c>
    </row>
    <row r="58" spans="1:14" ht="27">
      <c r="A58" s="8">
        <v>58</v>
      </c>
      <c r="B58" s="16"/>
      <c r="C58" s="12" t="s">
        <v>150</v>
      </c>
      <c r="D58" s="8" t="s">
        <v>9</v>
      </c>
      <c r="E58" s="6" t="s">
        <v>277</v>
      </c>
      <c r="F58" s="5" t="s">
        <v>278</v>
      </c>
      <c r="G58" s="13" t="s">
        <v>279</v>
      </c>
      <c r="H58" s="6" t="s">
        <v>280</v>
      </c>
      <c r="I58" s="6" t="s">
        <v>281</v>
      </c>
      <c r="J58" s="5" t="s">
        <v>278</v>
      </c>
      <c r="L58" s="6"/>
      <c r="M58" s="15" t="s">
        <v>282</v>
      </c>
      <c r="N58" s="6">
        <v>58</v>
      </c>
    </row>
    <row r="59" spans="1:14" ht="13.5">
      <c r="A59" s="8">
        <v>59</v>
      </c>
      <c r="B59" s="16"/>
      <c r="C59" s="7"/>
      <c r="D59" s="8"/>
      <c r="E59" s="6">
        <f>0.095*E37</f>
        <v>67971.1552727544</v>
      </c>
      <c r="F59" s="6">
        <f>E59</f>
        <v>67971.1552727544</v>
      </c>
      <c r="G59" s="6">
        <f>-0.7*E27</f>
        <v>-3347.470747052378</v>
      </c>
      <c r="H59" s="6">
        <f>E29</f>
        <v>5000</v>
      </c>
      <c r="I59" s="6">
        <f>43*E7</f>
        <v>42171.44859180876</v>
      </c>
      <c r="J59" s="6">
        <f>G59+H59+I59</f>
        <v>43823.97784475638</v>
      </c>
      <c r="L59" s="6"/>
      <c r="M59" s="3">
        <f>F59-J59</f>
        <v>24147.177427998024</v>
      </c>
      <c r="N59" s="6">
        <v>59</v>
      </c>
    </row>
    <row r="60" spans="1:14" ht="27">
      <c r="A60" s="8">
        <v>60</v>
      </c>
      <c r="B60" s="16"/>
      <c r="C60" s="12" t="s">
        <v>283</v>
      </c>
      <c r="D60" s="8"/>
      <c r="E60" s="6" t="s">
        <v>284</v>
      </c>
      <c r="F60" s="5" t="s">
        <v>278</v>
      </c>
      <c r="G60" s="13" t="s">
        <v>285</v>
      </c>
      <c r="H60" s="6" t="s">
        <v>286</v>
      </c>
      <c r="I60" s="6" t="s">
        <v>287</v>
      </c>
      <c r="J60" s="6" t="s">
        <v>278</v>
      </c>
      <c r="L60" s="6"/>
      <c r="M60" s="15" t="s">
        <v>282</v>
      </c>
      <c r="N60" s="6">
        <v>60</v>
      </c>
    </row>
    <row r="61" spans="1:14" ht="13.5">
      <c r="A61" s="8">
        <v>61</v>
      </c>
      <c r="B61" s="16"/>
      <c r="C61" s="7"/>
      <c r="D61" s="8"/>
      <c r="E61" s="6">
        <f>0.038*E37</f>
        <v>27188.462109101758</v>
      </c>
      <c r="F61" s="6">
        <f>E61</f>
        <v>27188.462109101758</v>
      </c>
      <c r="G61" s="6">
        <f>-1.4*E27</f>
        <v>-6694.941494104756</v>
      </c>
      <c r="H61" s="6">
        <f>0.5*E29</f>
        <v>2500</v>
      </c>
      <c r="I61" s="6">
        <f>32*E7</f>
        <v>31383.403603206516</v>
      </c>
      <c r="J61" s="6">
        <f>G61+H61+I61</f>
        <v>27188.46210910176</v>
      </c>
      <c r="L61" s="6"/>
      <c r="M61" s="3">
        <f>F61-J61</f>
        <v>0</v>
      </c>
      <c r="N61" s="6">
        <v>61</v>
      </c>
    </row>
    <row r="62" spans="1:14" ht="27">
      <c r="A62" s="8">
        <v>62</v>
      </c>
      <c r="B62" s="16"/>
      <c r="C62" s="12" t="s">
        <v>288</v>
      </c>
      <c r="D62" s="8" t="s">
        <v>289</v>
      </c>
      <c r="E62" s="6" t="s">
        <v>290</v>
      </c>
      <c r="F62" s="6" t="s">
        <v>291</v>
      </c>
      <c r="H62" s="6"/>
      <c r="I62" s="6"/>
      <c r="J62" s="6"/>
      <c r="K62" s="6"/>
      <c r="L62" s="6"/>
      <c r="M62" s="15" t="s">
        <v>292</v>
      </c>
      <c r="N62" s="6">
        <v>62</v>
      </c>
    </row>
    <row r="63" spans="1:14" ht="13.5">
      <c r="A63" s="8">
        <v>63</v>
      </c>
      <c r="B63" s="16"/>
      <c r="C63" s="7"/>
      <c r="D63" s="8"/>
      <c r="E63" s="6">
        <f>0.0095*E37</f>
        <v>6797.1155272754395</v>
      </c>
      <c r="F63" s="6">
        <f>E31</f>
        <v>6828.202109652581</v>
      </c>
      <c r="H63" s="6"/>
      <c r="I63" s="6"/>
      <c r="J63" s="6"/>
      <c r="K63" s="6"/>
      <c r="L63" s="6"/>
      <c r="M63" s="3">
        <f>E63-F63</f>
        <v>-31.086582377141895</v>
      </c>
      <c r="N63" s="6">
        <v>63</v>
      </c>
    </row>
    <row r="64" spans="1:14" ht="27">
      <c r="A64" s="8">
        <v>64</v>
      </c>
      <c r="B64" s="17" t="s">
        <v>56</v>
      </c>
      <c r="C64" s="12" t="s">
        <v>163</v>
      </c>
      <c r="D64" s="8" t="s">
        <v>11</v>
      </c>
      <c r="E64" s="6" t="s">
        <v>164</v>
      </c>
      <c r="F64" s="2" t="s">
        <v>165</v>
      </c>
      <c r="G64" s="15" t="s">
        <v>166</v>
      </c>
      <c r="H64" s="6" t="s">
        <v>167</v>
      </c>
      <c r="I64" s="6" t="s">
        <v>168</v>
      </c>
      <c r="J64" s="2" t="s">
        <v>165</v>
      </c>
      <c r="L64" s="6"/>
      <c r="M64" s="15" t="s">
        <v>169</v>
      </c>
      <c r="N64" s="6">
        <v>64</v>
      </c>
    </row>
    <row r="65" spans="1:14" ht="13.5">
      <c r="A65" s="8">
        <v>65</v>
      </c>
      <c r="B65" s="18"/>
      <c r="C65" s="7"/>
      <c r="D65" s="8"/>
      <c r="E65" s="6">
        <f>E10</f>
        <v>5826.928184207668</v>
      </c>
      <c r="F65" s="6">
        <f>E65</f>
        <v>5826.928184207668</v>
      </c>
      <c r="G65" s="6">
        <f>0.95*E34</f>
        <v>1096.2582515345234</v>
      </c>
      <c r="H65" s="6">
        <f>E12</f>
        <v>1983.0728835373534</v>
      </c>
      <c r="I65" s="6">
        <f>E17</f>
        <v>2747.597049135791</v>
      </c>
      <c r="J65" s="6">
        <f>G65+H65+I65</f>
        <v>5826.928184207668</v>
      </c>
      <c r="L65" s="6"/>
      <c r="M65" s="3">
        <f>F65-J65</f>
        <v>0</v>
      </c>
      <c r="N65" s="6">
        <v>65</v>
      </c>
    </row>
    <row r="66" spans="1:14" ht="27">
      <c r="A66" s="8">
        <v>66</v>
      </c>
      <c r="B66" s="18"/>
      <c r="C66" s="12" t="s">
        <v>170</v>
      </c>
      <c r="D66" s="8" t="s">
        <v>19</v>
      </c>
      <c r="E66" s="6" t="s">
        <v>171</v>
      </c>
      <c r="F66" s="2" t="s">
        <v>172</v>
      </c>
      <c r="G66" s="6" t="s">
        <v>173</v>
      </c>
      <c r="H66" s="6" t="s">
        <v>174</v>
      </c>
      <c r="I66" s="2" t="s">
        <v>172</v>
      </c>
      <c r="K66" s="6"/>
      <c r="L66" s="6"/>
      <c r="M66" s="15" t="s">
        <v>175</v>
      </c>
      <c r="N66" s="6">
        <v>66</v>
      </c>
    </row>
    <row r="67" spans="1:14" ht="13.5">
      <c r="A67" s="8">
        <v>67</v>
      </c>
      <c r="B67" s="18"/>
      <c r="C67" s="8"/>
      <c r="D67" s="8" t="s">
        <v>18</v>
      </c>
      <c r="E67" s="6">
        <f>0.79*E26</f>
        <v>3784.6795522095586</v>
      </c>
      <c r="F67" s="6">
        <f>E67</f>
        <v>3784.6795522095586</v>
      </c>
      <c r="G67" s="6">
        <f>E13</f>
        <v>909.8804995053737</v>
      </c>
      <c r="H67" s="6">
        <f>E18</f>
        <v>2874.7990527041843</v>
      </c>
      <c r="I67" s="6">
        <f>G67+H67</f>
        <v>3784.679552209558</v>
      </c>
      <c r="K67" s="6"/>
      <c r="L67" s="6"/>
      <c r="M67" s="3">
        <f>F67-I67</f>
        <v>0</v>
      </c>
      <c r="N67" s="6">
        <v>67</v>
      </c>
    </row>
    <row r="68" spans="1:14" ht="13.5">
      <c r="A68" s="8">
        <v>68</v>
      </c>
      <c r="B68" s="18"/>
      <c r="C68" s="11" t="s">
        <v>35</v>
      </c>
      <c r="D68" s="8" t="s">
        <v>20</v>
      </c>
      <c r="E68" s="6" t="s">
        <v>176</v>
      </c>
      <c r="F68" s="6" t="s">
        <v>177</v>
      </c>
      <c r="G68" s="5" t="s">
        <v>172</v>
      </c>
      <c r="H68" s="15" t="s">
        <v>178</v>
      </c>
      <c r="I68" s="6" t="s">
        <v>179</v>
      </c>
      <c r="J68" s="6" t="s">
        <v>293</v>
      </c>
      <c r="K68" s="6" t="s">
        <v>180</v>
      </c>
      <c r="L68" s="5" t="s">
        <v>172</v>
      </c>
      <c r="M68" s="15" t="s">
        <v>175</v>
      </c>
      <c r="N68" s="6">
        <v>68</v>
      </c>
    </row>
    <row r="69" spans="1:14" ht="13.5">
      <c r="A69" s="8">
        <v>69</v>
      </c>
      <c r="B69" s="18"/>
      <c r="C69" s="8"/>
      <c r="D69" s="8" t="s">
        <v>18</v>
      </c>
      <c r="E69" s="6">
        <f>0.59*E25</f>
        <v>26673.46716986882</v>
      </c>
      <c r="F69" s="6">
        <f>E28</f>
        <v>10000</v>
      </c>
      <c r="G69" s="6">
        <f>E69-F69</f>
        <v>16673.46716986882</v>
      </c>
      <c r="H69" s="6">
        <f>0.05*E34</f>
        <v>57.697802712343346</v>
      </c>
      <c r="I69" s="6">
        <f>E14</f>
        <v>2216.3755757182184</v>
      </c>
      <c r="J69" s="6">
        <f>E19</f>
        <v>14399.393791438257</v>
      </c>
      <c r="K69" s="6">
        <f>E22</f>
        <v>0</v>
      </c>
      <c r="L69" s="6">
        <f>H69+I69+J69+K69</f>
        <v>16673.467169868818</v>
      </c>
      <c r="M69" s="3">
        <f>G69-L69</f>
        <v>0</v>
      </c>
      <c r="N69" s="6">
        <v>69</v>
      </c>
    </row>
    <row r="70" spans="1:14" ht="13.5">
      <c r="A70" s="8">
        <v>70</v>
      </c>
      <c r="B70" s="18"/>
      <c r="C70" s="11" t="s">
        <v>52</v>
      </c>
      <c r="D70" s="8" t="s">
        <v>21</v>
      </c>
      <c r="E70" s="6" t="s">
        <v>181</v>
      </c>
      <c r="F70" s="5" t="s">
        <v>142</v>
      </c>
      <c r="G70" s="6" t="s">
        <v>42</v>
      </c>
      <c r="H70" s="6" t="s">
        <v>182</v>
      </c>
      <c r="I70" s="6" t="s">
        <v>183</v>
      </c>
      <c r="J70" s="5" t="s">
        <v>142</v>
      </c>
      <c r="L70" s="6"/>
      <c r="M70" s="15" t="s">
        <v>144</v>
      </c>
      <c r="N70" s="6">
        <v>70</v>
      </c>
    </row>
    <row r="71" spans="1:14" ht="13.5">
      <c r="A71" s="8">
        <v>71</v>
      </c>
      <c r="B71" s="18"/>
      <c r="C71" s="8"/>
      <c r="D71" s="8" t="s">
        <v>22</v>
      </c>
      <c r="E71" s="6">
        <f>0.5*E28</f>
        <v>5000</v>
      </c>
      <c r="F71" s="6">
        <f>E71</f>
        <v>5000</v>
      </c>
      <c r="G71" s="6">
        <f>E15</f>
        <v>0</v>
      </c>
      <c r="H71" s="6">
        <f>E20</f>
        <v>4478.210106721767</v>
      </c>
      <c r="I71" s="6">
        <f>E23</f>
        <v>521.7898932782321</v>
      </c>
      <c r="J71" s="6">
        <f>G71+H71+I71</f>
        <v>4999.999999999999</v>
      </c>
      <c r="L71" s="6"/>
      <c r="M71" s="3">
        <f>F71-J71</f>
        <v>0</v>
      </c>
      <c r="N71" s="6">
        <v>71</v>
      </c>
    </row>
    <row r="72" spans="1:14" ht="13.5">
      <c r="A72" s="8">
        <v>72</v>
      </c>
      <c r="B72" s="18"/>
      <c r="C72" s="11" t="s">
        <v>184</v>
      </c>
      <c r="D72" s="8" t="s">
        <v>23</v>
      </c>
      <c r="E72" s="6" t="s">
        <v>185</v>
      </c>
      <c r="F72" s="5" t="s">
        <v>186</v>
      </c>
      <c r="G72" s="6" t="s">
        <v>187</v>
      </c>
      <c r="H72" s="6" t="s">
        <v>188</v>
      </c>
      <c r="I72" s="5" t="s">
        <v>186</v>
      </c>
      <c r="K72" s="6"/>
      <c r="L72" s="6"/>
      <c r="M72" s="15" t="s">
        <v>189</v>
      </c>
      <c r="N72" s="6">
        <v>72</v>
      </c>
    </row>
    <row r="73" spans="1:14" ht="13.5">
      <c r="A73" s="8">
        <v>73</v>
      </c>
      <c r="B73" s="18"/>
      <c r="C73" s="8"/>
      <c r="D73" s="8" t="s">
        <v>232</v>
      </c>
      <c r="E73" s="6">
        <f>0.3*E29</f>
        <v>1500</v>
      </c>
      <c r="F73" s="6">
        <f>E73</f>
        <v>1500</v>
      </c>
      <c r="G73" s="6">
        <f>E16</f>
        <v>0</v>
      </c>
      <c r="H73" s="6">
        <f>E21</f>
        <v>1500</v>
      </c>
      <c r="I73" s="6">
        <f>G73+H73</f>
        <v>1500</v>
      </c>
      <c r="K73" s="6"/>
      <c r="L73" s="6"/>
      <c r="M73" s="3">
        <f>F73-I73</f>
        <v>0</v>
      </c>
      <c r="N73" s="6">
        <v>73</v>
      </c>
    </row>
    <row r="74" spans="1:14" ht="13.5">
      <c r="A74" s="8">
        <v>74</v>
      </c>
      <c r="B74" s="18"/>
      <c r="C74" s="11" t="s">
        <v>190</v>
      </c>
      <c r="D74" s="8" t="s">
        <v>24</v>
      </c>
      <c r="E74" s="6" t="s">
        <v>191</v>
      </c>
      <c r="F74" s="6" t="s">
        <v>50</v>
      </c>
      <c r="G74" s="6" t="s">
        <v>192</v>
      </c>
      <c r="H74" s="6" t="s">
        <v>193</v>
      </c>
      <c r="I74" s="6" t="s">
        <v>194</v>
      </c>
      <c r="J74" s="5" t="s">
        <v>37</v>
      </c>
      <c r="K74" s="6" t="s">
        <v>195</v>
      </c>
      <c r="M74" s="15" t="s">
        <v>34</v>
      </c>
      <c r="N74" s="6">
        <v>74</v>
      </c>
    </row>
    <row r="75" spans="1:14" ht="13.5">
      <c r="A75" s="8">
        <v>75</v>
      </c>
      <c r="B75" s="18"/>
      <c r="C75" s="8"/>
      <c r="D75" s="8"/>
      <c r="E75" s="6">
        <f>E12</f>
        <v>1983.0728835373534</v>
      </c>
      <c r="F75" s="6">
        <f>E13</f>
        <v>909.8804995053737</v>
      </c>
      <c r="G75" s="6">
        <f>E14</f>
        <v>2216.3755757182184</v>
      </c>
      <c r="H75" s="6">
        <f>E15</f>
        <v>0</v>
      </c>
      <c r="I75" s="6">
        <f>E16</f>
        <v>0</v>
      </c>
      <c r="J75" s="6">
        <f>E75+F75+G75+H75+I75</f>
        <v>5109.328958760945</v>
      </c>
      <c r="K75" s="6">
        <f>E35</f>
        <v>5109.328958760946</v>
      </c>
      <c r="M75" s="3">
        <f>J75-K75</f>
        <v>0</v>
      </c>
      <c r="N75" s="6">
        <v>75</v>
      </c>
    </row>
    <row r="76" spans="1:14" ht="13.5">
      <c r="A76" s="8">
        <v>76</v>
      </c>
      <c r="B76" s="18"/>
      <c r="C76" s="11" t="s">
        <v>196</v>
      </c>
      <c r="D76" s="8" t="s">
        <v>25</v>
      </c>
      <c r="E76" s="6" t="s">
        <v>197</v>
      </c>
      <c r="F76" s="6" t="s">
        <v>51</v>
      </c>
      <c r="G76" s="6" t="s">
        <v>198</v>
      </c>
      <c r="H76" s="6" t="s">
        <v>36</v>
      </c>
      <c r="I76" s="6" t="s">
        <v>199</v>
      </c>
      <c r="J76" s="5" t="s">
        <v>37</v>
      </c>
      <c r="K76" s="6" t="s">
        <v>200</v>
      </c>
      <c r="M76" s="15" t="s">
        <v>34</v>
      </c>
      <c r="N76" s="6">
        <v>76</v>
      </c>
    </row>
    <row r="77" spans="1:14" ht="13.5">
      <c r="A77" s="8">
        <v>77</v>
      </c>
      <c r="B77" s="18"/>
      <c r="C77" s="8"/>
      <c r="D77" s="8"/>
      <c r="E77" s="6">
        <f>E17</f>
        <v>2747.597049135791</v>
      </c>
      <c r="F77" s="6">
        <f>E18</f>
        <v>2874.7990527041843</v>
      </c>
      <c r="G77" s="6">
        <f>E19</f>
        <v>14399.393791438257</v>
      </c>
      <c r="H77" s="6">
        <f>E20</f>
        <v>4478.210106721767</v>
      </c>
      <c r="I77" s="6">
        <f>E21</f>
        <v>1500</v>
      </c>
      <c r="J77" s="6">
        <f>E77+F77+G77+H77+I77</f>
        <v>26000</v>
      </c>
      <c r="K77" s="6">
        <f>E36</f>
        <v>26000</v>
      </c>
      <c r="M77" s="3">
        <f>J77-K77</f>
        <v>0</v>
      </c>
      <c r="N77" s="6">
        <v>77</v>
      </c>
    </row>
    <row r="78" spans="1:14" ht="13.5">
      <c r="A78" s="8">
        <v>78</v>
      </c>
      <c r="B78" s="18"/>
      <c r="C78" s="11" t="s">
        <v>201</v>
      </c>
      <c r="D78" s="8" t="s">
        <v>26</v>
      </c>
      <c r="E78" s="6" t="s">
        <v>202</v>
      </c>
      <c r="F78" s="6" t="s">
        <v>183</v>
      </c>
      <c r="G78" s="5" t="s">
        <v>142</v>
      </c>
      <c r="H78" s="6" t="s">
        <v>41</v>
      </c>
      <c r="J78" s="6"/>
      <c r="K78" s="6"/>
      <c r="L78" s="6"/>
      <c r="M78" s="15" t="s">
        <v>203</v>
      </c>
      <c r="N78" s="6">
        <v>78</v>
      </c>
    </row>
    <row r="79" spans="1:14" ht="13.5">
      <c r="A79" s="8">
        <v>79</v>
      </c>
      <c r="B79" s="18"/>
      <c r="C79" s="8"/>
      <c r="D79" s="8"/>
      <c r="E79" s="6">
        <f>E22</f>
        <v>0</v>
      </c>
      <c r="F79" s="6">
        <f>E23</f>
        <v>521.7898932782321</v>
      </c>
      <c r="G79" s="6">
        <f>E79+F79</f>
        <v>521.7898932782321</v>
      </c>
      <c r="H79" s="6">
        <f>E11</f>
        <v>521.7898932782321</v>
      </c>
      <c r="J79" s="6"/>
      <c r="K79" s="6"/>
      <c r="L79" s="6"/>
      <c r="M79" s="3">
        <f>G79-H79</f>
        <v>0</v>
      </c>
      <c r="N79" s="6">
        <v>79</v>
      </c>
    </row>
    <row r="80" spans="1:14" ht="13.5">
      <c r="A80" s="8">
        <v>80</v>
      </c>
      <c r="B80" s="18"/>
      <c r="C80" s="11" t="s">
        <v>204</v>
      </c>
      <c r="D80" s="8" t="s">
        <v>24</v>
      </c>
      <c r="E80" s="6" t="s">
        <v>45</v>
      </c>
      <c r="F80" s="6" t="s">
        <v>46</v>
      </c>
      <c r="G80" s="6" t="s">
        <v>47</v>
      </c>
      <c r="H80" s="6" t="s">
        <v>48</v>
      </c>
      <c r="I80" s="6" t="s">
        <v>205</v>
      </c>
      <c r="J80" s="5" t="s">
        <v>37</v>
      </c>
      <c r="K80" s="6" t="s">
        <v>206</v>
      </c>
      <c r="M80" s="15" t="s">
        <v>294</v>
      </c>
      <c r="N80" s="6">
        <v>80</v>
      </c>
    </row>
    <row r="81" spans="1:14" ht="13.5">
      <c r="A81" s="8">
        <v>81</v>
      </c>
      <c r="B81" s="18"/>
      <c r="C81" s="8"/>
      <c r="D81" s="8" t="s">
        <v>27</v>
      </c>
      <c r="E81" s="6">
        <f>0.7*E12</f>
        <v>1388.1510184761473</v>
      </c>
      <c r="F81" s="6">
        <f>0.3*E13</f>
        <v>272.9641498516121</v>
      </c>
      <c r="G81" s="6">
        <f>3.4*E14</f>
        <v>7535.676957441942</v>
      </c>
      <c r="H81" s="6">
        <f>4.3*E15</f>
        <v>0</v>
      </c>
      <c r="I81" s="6">
        <f>1.2*E16</f>
        <v>0</v>
      </c>
      <c r="J81" s="6">
        <f>E81+F81+G81+H81+I81</f>
        <v>9196.792125769702</v>
      </c>
      <c r="K81" s="6">
        <f>1.8*E35</f>
        <v>9196.792125769703</v>
      </c>
      <c r="M81" s="3">
        <f>J81-K81</f>
        <v>0</v>
      </c>
      <c r="N81" s="6">
        <v>81</v>
      </c>
    </row>
    <row r="82" spans="1:14" ht="13.5">
      <c r="A82" s="8">
        <v>82</v>
      </c>
      <c r="B82" s="18"/>
      <c r="C82" s="11" t="s">
        <v>295</v>
      </c>
      <c r="D82" s="8" t="s">
        <v>24</v>
      </c>
      <c r="E82" s="13" t="s">
        <v>208</v>
      </c>
      <c r="F82" s="6" t="s">
        <v>209</v>
      </c>
      <c r="G82" s="6" t="s">
        <v>210</v>
      </c>
      <c r="H82" s="6" t="s">
        <v>38</v>
      </c>
      <c r="I82" s="13" t="s">
        <v>211</v>
      </c>
      <c r="J82" s="6" t="s">
        <v>37</v>
      </c>
      <c r="K82" s="6" t="s">
        <v>212</v>
      </c>
      <c r="M82" s="15" t="s">
        <v>294</v>
      </c>
      <c r="N82" s="6">
        <v>82</v>
      </c>
    </row>
    <row r="83" spans="1:14" ht="13.5">
      <c r="A83" s="8">
        <v>83</v>
      </c>
      <c r="B83" s="18"/>
      <c r="C83" s="8"/>
      <c r="D83" s="8" t="s">
        <v>28</v>
      </c>
      <c r="E83" s="6">
        <f>-50*E12</f>
        <v>-99153.64417686767</v>
      </c>
      <c r="F83" s="6">
        <f>690*E13</f>
        <v>627817.5446587078</v>
      </c>
      <c r="G83" s="6">
        <f>430*E14</f>
        <v>953041.4975588339</v>
      </c>
      <c r="H83" s="6">
        <f>710*E15</f>
        <v>0</v>
      </c>
      <c r="I83" s="6">
        <f>-25*E16</f>
        <v>0</v>
      </c>
      <c r="J83" s="6">
        <f>E83+F83+G83+H83+I83</f>
        <v>1481705.3980406742</v>
      </c>
      <c r="K83" s="6">
        <f>290*E35</f>
        <v>1481705.3980406744</v>
      </c>
      <c r="M83" s="3">
        <f>J83-K83</f>
        <v>0</v>
      </c>
      <c r="N83" s="6">
        <v>83</v>
      </c>
    </row>
    <row r="84" spans="1:14" ht="13.5">
      <c r="A84" s="8">
        <v>84</v>
      </c>
      <c r="B84" s="18"/>
      <c r="C84" s="11" t="s">
        <v>53</v>
      </c>
      <c r="D84" s="8" t="s">
        <v>25</v>
      </c>
      <c r="E84" s="6" t="s">
        <v>213</v>
      </c>
      <c r="F84" s="6" t="s">
        <v>214</v>
      </c>
      <c r="G84" s="6" t="s">
        <v>296</v>
      </c>
      <c r="H84" s="6" t="s">
        <v>215</v>
      </c>
      <c r="I84" s="6" t="s">
        <v>216</v>
      </c>
      <c r="J84" s="5" t="s">
        <v>37</v>
      </c>
      <c r="K84" s="6" t="s">
        <v>217</v>
      </c>
      <c r="M84" s="15" t="s">
        <v>294</v>
      </c>
      <c r="N84" s="6">
        <v>84</v>
      </c>
    </row>
    <row r="85" spans="1:14" ht="13.5">
      <c r="A85" s="8">
        <v>85</v>
      </c>
      <c r="B85" s="18"/>
      <c r="C85" s="8"/>
      <c r="D85" s="8" t="s">
        <v>27</v>
      </c>
      <c r="E85" s="6">
        <f>0.7*E17</f>
        <v>1923.3179343950537</v>
      </c>
      <c r="F85" s="6">
        <f>0.3*E18</f>
        <v>862.4397158112553</v>
      </c>
      <c r="G85" s="6">
        <f>3.4*E19</f>
        <v>48957.93889089007</v>
      </c>
      <c r="H85" s="6">
        <f>4.3*E20</f>
        <v>19256.3034589036</v>
      </c>
      <c r="I85" s="6">
        <f>1.2*E21</f>
        <v>1800</v>
      </c>
      <c r="J85" s="6">
        <f>E85+F85+G85+H85+I85</f>
        <v>72799.99999999999</v>
      </c>
      <c r="K85" s="6">
        <f>2.8*E36</f>
        <v>72800</v>
      </c>
      <c r="M85" s="3">
        <f>J85-K85</f>
        <v>0</v>
      </c>
      <c r="N85" s="6">
        <v>85</v>
      </c>
    </row>
    <row r="86" spans="1:14" ht="13.5">
      <c r="A86" s="8">
        <v>86</v>
      </c>
      <c r="B86" s="18"/>
      <c r="C86" s="11" t="s">
        <v>297</v>
      </c>
      <c r="D86" s="8" t="s">
        <v>25</v>
      </c>
      <c r="E86" s="13" t="s">
        <v>219</v>
      </c>
      <c r="F86" s="6" t="s">
        <v>220</v>
      </c>
      <c r="G86" s="6" t="s">
        <v>221</v>
      </c>
      <c r="H86" s="6" t="s">
        <v>222</v>
      </c>
      <c r="I86" s="13" t="s">
        <v>223</v>
      </c>
      <c r="J86" s="5" t="s">
        <v>37</v>
      </c>
      <c r="K86" s="6" t="s">
        <v>224</v>
      </c>
      <c r="M86" s="15" t="s">
        <v>294</v>
      </c>
      <c r="N86" s="6">
        <v>86</v>
      </c>
    </row>
    <row r="87" spans="1:14" ht="13.5">
      <c r="A87" s="8">
        <v>87</v>
      </c>
      <c r="B87" s="19"/>
      <c r="C87" s="8"/>
      <c r="D87" s="8" t="s">
        <v>28</v>
      </c>
      <c r="E87" s="6">
        <f>-50*E17</f>
        <v>-137379.85245678955</v>
      </c>
      <c r="F87" s="6">
        <f>690*E18</f>
        <v>1983611.3463658872</v>
      </c>
      <c r="G87" s="6">
        <f>430*E19</f>
        <v>6191739.33031845</v>
      </c>
      <c r="H87" s="6">
        <f>710*E20</f>
        <v>3179529.1757724546</v>
      </c>
      <c r="I87" s="6">
        <f>-25*E21</f>
        <v>-37500</v>
      </c>
      <c r="J87" s="6">
        <f>E87+F87+G87+H87+I87</f>
        <v>11180000.000000002</v>
      </c>
      <c r="K87" s="6">
        <f>430*E36</f>
        <v>11180000</v>
      </c>
      <c r="M87" s="3">
        <f>J87-K87</f>
        <v>0</v>
      </c>
      <c r="N87" s="6">
        <v>87</v>
      </c>
    </row>
    <row r="88" spans="1:14" ht="13.5">
      <c r="A88" s="9" t="s">
        <v>298</v>
      </c>
      <c r="B88" s="9" t="s">
        <v>299</v>
      </c>
      <c r="C88" s="9" t="s">
        <v>300</v>
      </c>
      <c r="D88" s="9" t="s">
        <v>301</v>
      </c>
      <c r="E88" s="10" t="s">
        <v>302</v>
      </c>
      <c r="F88" s="10" t="s">
        <v>303</v>
      </c>
      <c r="G88" s="10" t="s">
        <v>304</v>
      </c>
      <c r="H88" s="10" t="s">
        <v>305</v>
      </c>
      <c r="I88" s="10" t="s">
        <v>306</v>
      </c>
      <c r="J88" s="10" t="s">
        <v>307</v>
      </c>
      <c r="K88" s="10" t="s">
        <v>308</v>
      </c>
      <c r="L88" s="10" t="s">
        <v>309</v>
      </c>
      <c r="M88" s="10" t="s">
        <v>310</v>
      </c>
      <c r="N88" s="10" t="s">
        <v>33</v>
      </c>
    </row>
  </sheetData>
  <sheetProtection/>
  <mergeCells count="9">
    <mergeCell ref="E3:L3"/>
    <mergeCell ref="E4:L4"/>
    <mergeCell ref="E5:L5"/>
    <mergeCell ref="B64:B87"/>
    <mergeCell ref="B7:B23"/>
    <mergeCell ref="B3:B6"/>
    <mergeCell ref="B24:B39"/>
    <mergeCell ref="B56:B63"/>
    <mergeCell ref="B40:B55"/>
  </mergeCells>
  <printOptions/>
  <pageMargins left="0.75" right="0.75" top="1" bottom="1" header="0.512" footer="0.512"/>
  <pageSetup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komatsu</dc:creator>
  <cp:keywords/>
  <dc:description/>
  <cp:lastModifiedBy>小松昭英</cp:lastModifiedBy>
  <cp:lastPrinted>2015-05-25T16:32:28Z</cp:lastPrinted>
  <dcterms:created xsi:type="dcterms:W3CDTF">2013-11-02T01:54:38Z</dcterms:created>
  <dcterms:modified xsi:type="dcterms:W3CDTF">2015-05-25T16:42:31Z</dcterms:modified>
  <cp:category/>
  <cp:version/>
  <cp:contentType/>
  <cp:contentStatus/>
</cp:coreProperties>
</file>